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roosmalen\OneDrive - ESJ Accounting &amp; Belastingen B.V\"/>
    </mc:Choice>
  </mc:AlternateContent>
  <xr:revisionPtr revIDLastSave="90" documentId="8_{8533A504-ABA3-449B-9D5A-54CE7107A1AA}" xr6:coauthVersionLast="41" xr6:coauthVersionMax="44" xr10:uidLastSave="{AC6EAD4D-D4A4-42E4-9757-AF264D0947C2}"/>
  <bookViews>
    <workbookView xWindow="28680" yWindow="-120" windowWidth="29040" windowHeight="16440" xr2:uid="{0D650229-A369-4790-93AD-F092A5B5D67E}"/>
  </bookViews>
  <sheets>
    <sheet name="Rekentool CB+NOW" sheetId="13" r:id="rId1"/>
    <sheet name="Blad1" sheetId="15" state="hidden" r:id="rId2"/>
    <sheet name="Rekentool NOW" sheetId="7" state="hidden" r:id="rId3"/>
    <sheet name="CB+NOW vs NOW" sheetId="14" state="hidden" r:id="rId4"/>
    <sheet name="spec omzet 2019" sheetId="10" r:id="rId5"/>
    <sheet name="spec omzet 2020 mrt tm jul" sheetId="12" r:id="rId6"/>
  </sheets>
  <definedNames>
    <definedName name="_xlnm.Print_Area" localSheetId="3">'CB+NOW vs NOW'!$A:$D</definedName>
    <definedName name="_xlnm.Print_Area" localSheetId="0">'Rekentool CB+NOW'!$A:$F</definedName>
    <definedName name="_xlnm.Print_Area" localSheetId="2">'Rekentool NOW'!$A:$F</definedName>
    <definedName name="_xlnm.Print_Area" localSheetId="4">'spec omzet 2019'!$A:$D</definedName>
    <definedName name="_xlnm.Print_Area" localSheetId="5">'spec omzet 2020 mrt tm jul'!$A:$D</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7" i="13" l="1"/>
  <c r="D58" i="13"/>
  <c r="B5" i="14" l="1"/>
  <c r="A80" i="13"/>
  <c r="A79" i="13"/>
  <c r="A78" i="13"/>
  <c r="A77" i="13"/>
  <c r="D83" i="12"/>
  <c r="D65" i="12"/>
  <c r="D47" i="12"/>
  <c r="D29" i="12"/>
  <c r="D11" i="12"/>
  <c r="D27" i="12"/>
  <c r="D62" i="7" l="1"/>
  <c r="D57" i="7"/>
  <c r="D58" i="7"/>
  <c r="D56" i="7"/>
  <c r="E34" i="7"/>
  <c r="D14" i="7"/>
  <c r="D12" i="7"/>
  <c r="D59" i="13"/>
  <c r="E14" i="13"/>
  <c r="D60" i="13" l="1"/>
  <c r="D88" i="12" l="1"/>
  <c r="D23" i="13" s="1"/>
  <c r="C88" i="12"/>
  <c r="C23" i="13" s="1"/>
  <c r="B87" i="12"/>
  <c r="B86" i="12"/>
  <c r="B85" i="12"/>
  <c r="B84" i="12"/>
  <c r="B83" i="12"/>
  <c r="B82" i="12"/>
  <c r="B81" i="12"/>
  <c r="B80" i="12"/>
  <c r="B79" i="12"/>
  <c r="B78" i="12"/>
  <c r="B77" i="12"/>
  <c r="B76" i="12"/>
  <c r="B75" i="12"/>
  <c r="D70" i="12"/>
  <c r="D22" i="13" s="1"/>
  <c r="C70" i="12"/>
  <c r="C22" i="13" s="1"/>
  <c r="B69" i="12"/>
  <c r="B68" i="12"/>
  <c r="B67" i="12"/>
  <c r="B66" i="12"/>
  <c r="B65" i="12"/>
  <c r="B64" i="12"/>
  <c r="B63" i="12"/>
  <c r="B62" i="12"/>
  <c r="B61" i="12"/>
  <c r="B60" i="12"/>
  <c r="B59" i="12"/>
  <c r="B58" i="12"/>
  <c r="B57" i="12"/>
  <c r="D52" i="12"/>
  <c r="D21" i="13" s="1"/>
  <c r="C52" i="12"/>
  <c r="C21" i="13" s="1"/>
  <c r="B51" i="12"/>
  <c r="B50" i="12"/>
  <c r="B49" i="12"/>
  <c r="B48" i="12"/>
  <c r="B47" i="12"/>
  <c r="B46" i="12"/>
  <c r="B45" i="12"/>
  <c r="B44" i="12"/>
  <c r="B43" i="12"/>
  <c r="B42" i="12"/>
  <c r="B41" i="12"/>
  <c r="B40" i="12"/>
  <c r="B39" i="12"/>
  <c r="B88" i="12" l="1"/>
  <c r="D23" i="7"/>
  <c r="E21" i="13"/>
  <c r="C75" i="13"/>
  <c r="E23" i="13"/>
  <c r="C23" i="7"/>
  <c r="E22" i="13"/>
  <c r="B70" i="12"/>
  <c r="D22" i="7"/>
  <c r="C22" i="7"/>
  <c r="D21" i="7"/>
  <c r="B52" i="12"/>
  <c r="C21" i="7"/>
  <c r="D34" i="12"/>
  <c r="D20" i="13" s="1"/>
  <c r="C34" i="12"/>
  <c r="C20" i="13" s="1"/>
  <c r="D16" i="12"/>
  <c r="D19" i="13" s="1"/>
  <c r="C16" i="12"/>
  <c r="C19" i="13" s="1"/>
  <c r="D19" i="10"/>
  <c r="C19" i="10"/>
  <c r="C20" i="10" s="1"/>
  <c r="E9" i="13" s="1"/>
  <c r="E19" i="13" l="1"/>
  <c r="E20" i="13"/>
  <c r="E13" i="13"/>
  <c r="C76" i="13" s="1"/>
  <c r="C75" i="7"/>
  <c r="C76" i="7" l="1"/>
  <c r="C77" i="13"/>
  <c r="C77" i="7" s="1"/>
  <c r="C78" i="13"/>
  <c r="C78" i="7" s="1"/>
  <c r="C79" i="13"/>
  <c r="C79" i="7" s="1"/>
  <c r="C80" i="13"/>
  <c r="C80" i="7" s="1"/>
  <c r="E29" i="13"/>
  <c r="E30" i="13"/>
  <c r="E31" i="13"/>
  <c r="E28" i="13"/>
  <c r="B28" i="12"/>
  <c r="B10" i="12"/>
  <c r="B9" i="12"/>
  <c r="B27" i="12"/>
  <c r="D20" i="7"/>
  <c r="C20" i="7"/>
  <c r="B33" i="12"/>
  <c r="B32" i="12"/>
  <c r="B31" i="12"/>
  <c r="B30" i="12"/>
  <c r="B29" i="12"/>
  <c r="B26" i="12"/>
  <c r="B25" i="12"/>
  <c r="B24" i="12"/>
  <c r="B23" i="12"/>
  <c r="B22" i="12"/>
  <c r="B21" i="12"/>
  <c r="D19" i="7"/>
  <c r="C19" i="7"/>
  <c r="B15" i="12"/>
  <c r="B14" i="12"/>
  <c r="B13" i="12"/>
  <c r="B12" i="12"/>
  <c r="B11" i="12"/>
  <c r="B8" i="12"/>
  <c r="B7" i="12"/>
  <c r="B6" i="12"/>
  <c r="B5" i="12"/>
  <c r="B4" i="12"/>
  <c r="B3" i="12"/>
  <c r="C81" i="13" l="1"/>
  <c r="D81" i="13" s="1"/>
  <c r="C81" i="7"/>
  <c r="E33" i="13"/>
  <c r="B16" i="12"/>
  <c r="B34" i="12"/>
  <c r="E19" i="7"/>
  <c r="B11" i="10"/>
  <c r="B4" i="10"/>
  <c r="B5" i="10"/>
  <c r="B6" i="10"/>
  <c r="B7" i="10"/>
  <c r="B8" i="10"/>
  <c r="B9" i="10"/>
  <c r="B10" i="10"/>
  <c r="B12" i="10"/>
  <c r="B18" i="10"/>
  <c r="E20" i="7"/>
  <c r="E81" i="13" l="1"/>
  <c r="E98" i="13" s="1"/>
  <c r="E35" i="13"/>
  <c r="C3" i="14" s="1"/>
  <c r="D20" i="10"/>
  <c r="D91" i="13" l="1"/>
  <c r="C5" i="14"/>
  <c r="E10" i="7"/>
  <c r="E10" i="13"/>
  <c r="E37" i="13"/>
  <c r="D87" i="13"/>
  <c r="E14" i="7"/>
  <c r="E11" i="13" l="1"/>
  <c r="F10" i="13" s="1"/>
  <c r="E21" i="7"/>
  <c r="E23" i="7"/>
  <c r="F9" i="13" l="1"/>
  <c r="F14" i="13"/>
  <c r="F11" i="13"/>
  <c r="D41" i="13"/>
  <c r="D43" i="13"/>
  <c r="C53" i="13" s="1"/>
  <c r="D42" i="13"/>
  <c r="E22" i="7"/>
  <c r="E44" i="13" l="1"/>
  <c r="D59" i="7"/>
  <c r="D53" i="13" l="1"/>
  <c r="D65" i="13" s="1"/>
  <c r="E47" i="13"/>
  <c r="E48" i="13" s="1"/>
  <c r="D60" i="7"/>
  <c r="B3" i="10"/>
  <c r="E9" i="7"/>
  <c r="E13" i="7" s="1"/>
  <c r="D81" i="7" s="1"/>
  <c r="D66" i="13" l="1"/>
  <c r="D86" i="13" s="1"/>
  <c r="E88" i="13" s="1"/>
  <c r="E49" i="13"/>
  <c r="D67" i="13"/>
  <c r="E28" i="7"/>
  <c r="B19" i="10"/>
  <c r="B20" i="10" s="1"/>
  <c r="E29" i="7"/>
  <c r="E11" i="7"/>
  <c r="F14" i="7" s="1"/>
  <c r="E69" i="13" l="1"/>
  <c r="D90" i="13" s="1"/>
  <c r="E92" i="13" s="1"/>
  <c r="E94" i="13" s="1"/>
  <c r="E71" i="13"/>
  <c r="E30" i="7"/>
  <c r="E31" i="7"/>
  <c r="F9" i="7"/>
  <c r="F11" i="7"/>
  <c r="F10" i="7"/>
  <c r="C4" i="14" l="1"/>
  <c r="C9" i="14" s="1"/>
  <c r="E99" i="13"/>
  <c r="E101" i="13" s="1"/>
  <c r="E33" i="7"/>
  <c r="D43" i="7"/>
  <c r="D42" i="7"/>
  <c r="C53" i="7" s="1"/>
  <c r="D41" i="7"/>
  <c r="E81" i="7" l="1"/>
  <c r="E44" i="7"/>
  <c r="E35" i="7"/>
  <c r="D91" i="7" l="1"/>
  <c r="D5" i="14"/>
  <c r="D3" i="14"/>
  <c r="E47" i="7"/>
  <c r="E48" i="7" s="1"/>
  <c r="D53" i="7"/>
  <c r="D87" i="7"/>
  <c r="E37" i="7"/>
  <c r="D66" i="7" l="1"/>
  <c r="D86" i="7" s="1"/>
  <c r="E88" i="7" s="1"/>
  <c r="D67" i="7"/>
  <c r="D65" i="7"/>
  <c r="E49" i="7"/>
  <c r="E71" i="7" l="1"/>
  <c r="D4" i="14" s="1"/>
  <c r="D9" i="14" s="1"/>
  <c r="C12" i="14" s="1"/>
  <c r="E69" i="7"/>
  <c r="D90" i="7" s="1"/>
  <c r="E92" i="7" s="1"/>
  <c r="E94"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Christian Kefilev</author>
    <author>Ralf van Roosmalen</author>
  </authors>
  <commentList>
    <comment ref="E9" authorId="0" shapeId="0" xr:uid="{04A3884C-F46E-4250-9FCF-98C78F26A34C}">
      <text>
        <r>
          <rPr>
            <b/>
            <sz val="9"/>
            <color indexed="81"/>
            <rFont val="Tahoma"/>
            <family val="2"/>
          </rPr>
          <t>ESJ:</t>
        </r>
        <r>
          <rPr>
            <sz val="9"/>
            <color indexed="81"/>
            <rFont val="Tahoma"/>
            <family val="2"/>
          </rPr>
          <t xml:space="preserve">
Bedrag wordt overgenomen uit het tabblad 'spec omzet 2019'</t>
        </r>
      </text>
    </comment>
    <comment ref="E10" authorId="0" shapeId="0" xr:uid="{612336DB-AC78-44C0-A14E-9D64DFE25A51}">
      <text>
        <r>
          <rPr>
            <b/>
            <sz val="9"/>
            <color indexed="81"/>
            <rFont val="Tahoma"/>
            <family val="2"/>
          </rPr>
          <t>ESJ:</t>
        </r>
        <r>
          <rPr>
            <sz val="9"/>
            <color indexed="81"/>
            <rFont val="Tahoma"/>
            <family val="2"/>
          </rPr>
          <t xml:space="preserve">
Bedrag wordt overgenomen uit het tabblad 'spec omzet 2019'</t>
        </r>
      </text>
    </comment>
    <comment ref="E34" authorId="1" shapeId="0" xr:uid="{20B078F0-1941-4718-ABE0-43D76B8934D1}">
      <text>
        <r>
          <rPr>
            <b/>
            <sz val="9"/>
            <color indexed="81"/>
            <rFont val="Tahoma"/>
            <family val="2"/>
          </rPr>
          <t>ESJ:</t>
        </r>
        <r>
          <rPr>
            <sz val="9"/>
            <color indexed="81"/>
            <rFont val="Tahoma"/>
            <family val="2"/>
          </rPr>
          <t xml:space="preserve">
Er is een doorbetalingsplicht voor zzp'ers en variabel loon. Hoeveel is nog niet duidelijk. Vooralsnog uitgaan van dezelfde doorbetaling als in 2019.
Ontvangt een zzp'er 65% van zijn of haar omzet dan nu ook 65% van de continuiteitsbijdrage. 
Bedrag negatief invoeren</t>
        </r>
      </text>
    </comment>
    <comment ref="C53" authorId="1" shapeId="0" xr:uid="{7556D0BB-11F1-4AF3-9CF4-C23CDC418D50}">
      <text>
        <r>
          <rPr>
            <b/>
            <sz val="9"/>
            <color indexed="81"/>
            <rFont val="Tahoma"/>
            <family val="2"/>
          </rPr>
          <t>ESJ:</t>
        </r>
        <r>
          <rPr>
            <sz val="9"/>
            <color indexed="81"/>
            <rFont val="Tahoma"/>
            <family val="2"/>
          </rPr>
          <t xml:space="preserve">
Alleen invullen als werkelijk omzetverlies afwijkt van inschatting
</t>
        </r>
      </text>
    </comment>
    <comment ref="D60" authorId="0" shapeId="0" xr:uid="{DB0E147A-4DFA-4C92-A581-9C376B830AC2}">
      <text>
        <r>
          <rPr>
            <b/>
            <sz val="9"/>
            <color indexed="81"/>
            <rFont val="Tahoma"/>
            <family val="2"/>
          </rPr>
          <t>Christian Kefilev:</t>
        </r>
        <r>
          <rPr>
            <sz val="9"/>
            <color indexed="81"/>
            <rFont val="Tahoma"/>
            <family val="2"/>
          </rPr>
          <t xml:space="preserve">
Een positief % is een daling een negatief % is een stijging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Christian Kefilev</author>
    <author>Ralf van Roosmalen</author>
  </authors>
  <commentList>
    <comment ref="E9" authorId="0" shapeId="0" xr:uid="{7C675AC8-E1F9-4803-B692-2D9A5DA63E59}">
      <text>
        <r>
          <rPr>
            <b/>
            <sz val="9"/>
            <color indexed="81"/>
            <rFont val="Tahoma"/>
            <family val="2"/>
          </rPr>
          <t>ESJ:</t>
        </r>
        <r>
          <rPr>
            <sz val="9"/>
            <color indexed="81"/>
            <rFont val="Tahoma"/>
            <family val="2"/>
          </rPr>
          <t xml:space="preserve">
Bedrag wordt overgenomen uit het tabblad 'spec omzet 2019'</t>
        </r>
      </text>
    </comment>
    <comment ref="E10" authorId="0" shapeId="0" xr:uid="{3CF777A5-3CFC-4C06-86CB-2730366D5D02}">
      <text>
        <r>
          <rPr>
            <b/>
            <sz val="9"/>
            <color indexed="81"/>
            <rFont val="Tahoma"/>
            <family val="2"/>
          </rPr>
          <t>ESJ:</t>
        </r>
        <r>
          <rPr>
            <sz val="9"/>
            <color indexed="81"/>
            <rFont val="Tahoma"/>
            <family val="2"/>
          </rPr>
          <t xml:space="preserve">
Bedrag wordt overgenomen uit het tabblad 'spec omzet 2019'</t>
        </r>
      </text>
    </comment>
    <comment ref="E34" authorId="1" shapeId="0" xr:uid="{B89C57F0-2456-45C7-B6EF-BF8260A7F609}">
      <text>
        <r>
          <rPr>
            <b/>
            <sz val="9"/>
            <color indexed="81"/>
            <rFont val="Tahoma"/>
            <family val="2"/>
          </rPr>
          <t>ESJ:</t>
        </r>
        <r>
          <rPr>
            <sz val="9"/>
            <color indexed="81"/>
            <rFont val="Tahoma"/>
            <family val="2"/>
          </rPr>
          <t xml:space="preserve">
Er is een doorbetalingsplicht voor zzp'ers en variabel loon. Hoeveel is nog niet duidelijk. Vooralsnog uitgaan van dezelfde doorbetaling als in 2019.
Ontvangt een zzp'er 65% van zijn of haar omzet dan nu ook 65% van de continuiteitsbijdrage. 
Bedrag negatief invoeren</t>
        </r>
      </text>
    </comment>
    <comment ref="C53" authorId="1" shapeId="0" xr:uid="{FBEA21E3-2EDF-4037-B820-C17178A77F57}">
      <text>
        <r>
          <rPr>
            <b/>
            <sz val="9"/>
            <color indexed="81"/>
            <rFont val="Tahoma"/>
            <family val="2"/>
          </rPr>
          <t>ESJ:</t>
        </r>
        <r>
          <rPr>
            <sz val="9"/>
            <color indexed="81"/>
            <rFont val="Tahoma"/>
            <family val="2"/>
          </rPr>
          <t xml:space="preserve">
Alleen invullen als werkelijk omzetverlies afwijkt van inschatting
</t>
        </r>
      </text>
    </comment>
    <comment ref="D60" authorId="0" shapeId="0" xr:uid="{0AB7ED7B-E7C4-4BD7-B9E0-AFEA58FA450E}">
      <text>
        <r>
          <rPr>
            <b/>
            <sz val="9"/>
            <color indexed="81"/>
            <rFont val="Tahoma"/>
            <family val="2"/>
          </rPr>
          <t>Christian Kefilev:</t>
        </r>
        <r>
          <rPr>
            <sz val="9"/>
            <color indexed="81"/>
            <rFont val="Tahoma"/>
            <family val="2"/>
          </rPr>
          <t xml:space="preserve">
Een positief % is een daling een negatief % is een stijging
</t>
        </r>
      </text>
    </comment>
  </commentList>
</comments>
</file>

<file path=xl/sharedStrings.xml><?xml version="1.0" encoding="utf-8"?>
<sst xmlns="http://schemas.openxmlformats.org/spreadsheetml/2006/main" count="329" uniqueCount="136">
  <si>
    <t>SV-loon januari 2020**</t>
  </si>
  <si>
    <t>Maart</t>
  </si>
  <si>
    <t>April</t>
  </si>
  <si>
    <t>Mei</t>
  </si>
  <si>
    <t>Juni</t>
  </si>
  <si>
    <t>Juli</t>
  </si>
  <si>
    <t>Historische cijfers</t>
  </si>
  <si>
    <t>Continuiteitsbijdrage in %</t>
  </si>
  <si>
    <t>Gemiddelde maandomzet vergoed door zorgverzekeraars 2019</t>
  </si>
  <si>
    <t>Gemiddelde overige maandomzet 2019</t>
  </si>
  <si>
    <t>Omzetdaling per 3-maands periode</t>
  </si>
  <si>
    <t>1. Maart-mei</t>
  </si>
  <si>
    <t>2. April-juni</t>
  </si>
  <si>
    <t>3.Mei-juli</t>
  </si>
  <si>
    <t>Gekozen 3 maands periode</t>
  </si>
  <si>
    <t>Verwachte subsidie gekozen 3-maandsperiode</t>
  </si>
  <si>
    <t>Voorschot, in 3 maandsperiode (in 3 termijnen), 80% van de verwachte subsidie</t>
  </si>
  <si>
    <t>Termijnbedrag voorschot (per maand)</t>
  </si>
  <si>
    <t>ZN-regeling</t>
  </si>
  <si>
    <t>Eindafrekening subsidie</t>
  </si>
  <si>
    <t>Af: Voorschot</t>
  </si>
  <si>
    <t>-/-</t>
  </si>
  <si>
    <t>Af: Correctie indien lager SV-loon in maart-mei 2020</t>
  </si>
  <si>
    <t>Af/Bij: Correctie werkelijke omzetdaling****</t>
  </si>
  <si>
    <t>Te ontvangen/betalen bij definitieve afrekening</t>
  </si>
  <si>
    <t>Totale subsidie</t>
  </si>
  <si>
    <t>Berekening subsidie en voorschot</t>
  </si>
  <si>
    <t>SV-loon maart 2020</t>
  </si>
  <si>
    <t>SV-loon april 2020</t>
  </si>
  <si>
    <t>Totaal SV-loon maart-mei</t>
  </si>
  <si>
    <t>Loonsom daling</t>
  </si>
  <si>
    <t>Realisatie</t>
  </si>
  <si>
    <t>Stap 1</t>
  </si>
  <si>
    <t>Stap 2</t>
  </si>
  <si>
    <t>Stap 3</t>
  </si>
  <si>
    <t>Stap 4</t>
  </si>
  <si>
    <t>Stap 5</t>
  </si>
  <si>
    <t>Rekentool: Indicatieve berekening subsidie Noodmaatregel Overbrugging voor Werkgelegenheid* i.c.m. ZN-regeling</t>
  </si>
  <si>
    <t>Stap 6</t>
  </si>
  <si>
    <t>Totaal</t>
  </si>
  <si>
    <t>Nettobedrag continuiteitsbijdrage</t>
  </si>
  <si>
    <t>PM</t>
  </si>
  <si>
    <t>omzet(verwachting) overig</t>
  </si>
  <si>
    <t>omzet(verwachting) vergoed door zv</t>
  </si>
  <si>
    <t>Terugbetaling agv inhaalproductie</t>
  </si>
  <si>
    <t>Doorbetaling zzp'ers / variabel loon</t>
  </si>
  <si>
    <t>Totaaltelling subsidies</t>
  </si>
  <si>
    <t>Ontvangen subsidies</t>
  </si>
  <si>
    <t>NOW voorschot</t>
  </si>
  <si>
    <t>Netto continuiteitsbijdrage</t>
  </si>
  <si>
    <t>Correctie afrekening NOW-subsidie</t>
  </si>
  <si>
    <t>SV-loon mei 2020</t>
  </si>
  <si>
    <t>JA</t>
  </si>
  <si>
    <t>NEE</t>
  </si>
  <si>
    <t>Wordt vakantiegeld maandelijks verloond?</t>
  </si>
  <si>
    <t>Werkelijke omzetdaling in de gekozen 3-maandsperiode</t>
  </si>
  <si>
    <t>*Let op: dit model is bedoeld om een indicatieve berekening te maken van de aanvraag en eindafrekening van de NOW subsidie i.c.m. de ZN-regeling. Dit model gaat uit van maandverloning.</t>
  </si>
  <si>
    <t>overig</t>
  </si>
  <si>
    <t>plustarief</t>
  </si>
  <si>
    <t>Fitness</t>
  </si>
  <si>
    <t>Materiaal</t>
  </si>
  <si>
    <t>Verhuur ruimte</t>
  </si>
  <si>
    <t>Juli (schatting)</t>
  </si>
  <si>
    <t>Fysio ZV</t>
  </si>
  <si>
    <t>Fysio particulier (niet ZV)</t>
  </si>
  <si>
    <t>Stap 7</t>
  </si>
  <si>
    <t>Inhaalomzet</t>
  </si>
  <si>
    <t>Aug</t>
  </si>
  <si>
    <t>Sept</t>
  </si>
  <si>
    <t>Okt</t>
  </si>
  <si>
    <t>Nov</t>
  </si>
  <si>
    <t>Dec</t>
  </si>
  <si>
    <t>lagere vergoeding ZV</t>
  </si>
  <si>
    <t>Zorgkosteninflatie 2019-2020</t>
  </si>
  <si>
    <t>Normomzet zorgverzekeraars</t>
  </si>
  <si>
    <t>Omzet specificatie 2019</t>
  </si>
  <si>
    <t>Per jaar</t>
  </si>
  <si>
    <t>Per maand</t>
  </si>
  <si>
    <t>Zorgverzekeraar (ZV)</t>
  </si>
  <si>
    <t>inhaalomzet*****</t>
  </si>
  <si>
    <t>nog toekennen aan zv of overig</t>
  </si>
  <si>
    <t>LET OP: nog niet alle details van de ZN-regeling, alsmede de NOW-regeling i.c.m. de ZN-regeling, zijn bekend. Dit rekenmodel is zodoende aan verandering onderhevig. Ga naar de website van ESJ voor de meest recente versie van de rekentool.</t>
  </si>
  <si>
    <t>PRAKTIJKNAAM:</t>
  </si>
  <si>
    <t>Totale gemiddelde maandomzet 2019 (excl. BTW en excl. Zorgkosteninflatie)</t>
  </si>
  <si>
    <t>Realisatie loonsom**:</t>
  </si>
  <si>
    <r>
      <t xml:space="preserve">Omzetverwachting excl. continuiteitsbijdrage </t>
    </r>
    <r>
      <rPr>
        <sz val="9"/>
        <color theme="0"/>
        <rFont val="Lucida Sans Unicode"/>
        <family val="2"/>
      </rPr>
      <t>(totale omzet waarbij fysio-omzet obv behandeldatum wordt bepaald)</t>
    </r>
  </si>
  <si>
    <t>Totale subsidie NOW</t>
  </si>
  <si>
    <t>Totale correctie als gevolg van inhaalomzet</t>
  </si>
  <si>
    <t>Correctie continuiteitsbijdrage door inhaalomzet</t>
  </si>
  <si>
    <t xml:space="preserve">**Op het SV-loon dienen de volgende posten gecorrigeerd te worden: loon DGA, ontvangen ziektewetuitkeringen, bovenmatig loon (loon meer dan tweemaal het </t>
  </si>
  <si>
    <t xml:space="preserve">***In dit model wordt verondersteld dat er geen medewerkers zijn ontslagen op grond van bedrijfseconomische redenen gedurende de periode waarover de NOW is </t>
  </si>
  <si>
    <t>aangevraagd.</t>
  </si>
  <si>
    <t>omzet zv gerealiseerd in 2020</t>
  </si>
  <si>
    <t>Benieuwd naar onze andere blogs voor fysiopraktijken?</t>
  </si>
  <si>
    <t>FACT4FYSIO REKENTOOL</t>
  </si>
  <si>
    <t>Omzet 2019 gehele jaar</t>
  </si>
  <si>
    <t>Omzet maart 2020</t>
  </si>
  <si>
    <t>Omzet april 2020</t>
  </si>
  <si>
    <t>Totaal maart</t>
  </si>
  <si>
    <t>TOGS</t>
  </si>
  <si>
    <t>SET COVID-19</t>
  </si>
  <si>
    <t>het is nog niet bekend of deze sbusidie dient te worden meegenomen als omzet. Vooralsnog voorzichtigheidshalve wel vanuit gaan</t>
  </si>
  <si>
    <t>Omzet specificatie maart 2020</t>
  </si>
  <si>
    <t>Omzet specificatie april 2020</t>
  </si>
  <si>
    <t>SV-loon januari 2020 gecorrigeerd voor extra periode salarissen (bijvoorbeeld een 13e maand)</t>
  </si>
  <si>
    <t>Definitieve subsidie</t>
  </si>
  <si>
    <t>NOW-subsidie 1.0 berekening</t>
  </si>
  <si>
    <t>Eindafrekening NOW-Subsidie 1.0</t>
  </si>
  <si>
    <t>*****Dit model veronderstelt dat er gedurende de maanden van de continuïteitsbijdrage geen sprake is van inhaalomzet.</t>
  </si>
  <si>
    <t>****Dit model is opgesteld op basis van de kamerbrief van 20 mei en veronderstelt dat een hogere omzetdaling achteraf resulteert in een positieve correctie op de definitieve afrekening van de NOW, in de definitieve afrekening geen subsidie wordt toegekend over periode salarissen uit de maand januari, het kiezen van een alternatieve referentiemaand voor de loonsom van seizoensbedrijven louter kan leiden tot een positieve correctie van de subisidie  (zie kamerbrief 20 mei 'derde wijziging NOW').</t>
  </si>
  <si>
    <t>maximum dagloon, €9.538) en periodieke salarissen.</t>
  </si>
  <si>
    <t>In de kamerbrief van 20 mei wordt vermeld dat de TOGS meetelt als omzet voor de NOW. Daarbij is het nog wel de vraag hoe deze compensatie dient te worden verdeeld over de TOGS-periode. Een evenredige verdeling is op dit moment een logisch uitgangspunt.</t>
  </si>
  <si>
    <t>Omzet specificatie mei 2020</t>
  </si>
  <si>
    <t>Omzet mei 2020</t>
  </si>
  <si>
    <t>Omzet specificatie juni 2020</t>
  </si>
  <si>
    <t>Omzet juni 2020</t>
  </si>
  <si>
    <t>Omzet specificatie juli 2020</t>
  </si>
  <si>
    <t>Omzet juli 2020</t>
  </si>
  <si>
    <t>Rekenmodel versie 25 juni 2020</t>
  </si>
  <si>
    <t>Praktijk Joost</t>
  </si>
  <si>
    <t>Fysio particulier (niet ZV) overname</t>
  </si>
  <si>
    <t>LIJV</t>
  </si>
  <si>
    <t>Dit betreft fysio particulier plus overige omzet</t>
  </si>
  <si>
    <t>Fysio ZV overgenomen praktijk</t>
  </si>
  <si>
    <t>overige omzet obv verhouding omzet ZV en niet ZV (incl fysio particulieren) 2019 (25%)</t>
  </si>
  <si>
    <t>Vergelijking CB+NOW vs NOW</t>
  </si>
  <si>
    <t>CB +NOW</t>
  </si>
  <si>
    <t>NOW</t>
  </si>
  <si>
    <t>CB</t>
  </si>
  <si>
    <t xml:space="preserve">Correctie CB agv inhaalzorg obv </t>
  </si>
  <si>
    <t>Verschil</t>
  </si>
  <si>
    <t>Fysio Fransje</t>
  </si>
  <si>
    <t>Lagere omzet:</t>
  </si>
  <si>
    <t>Is de lagere vergoeding voor inhaalzorg een correctie voor de omzet 2020 voor de NOW?</t>
  </si>
  <si>
    <t>NOW aangepast</t>
  </si>
  <si>
    <t>NOW voor inhaalzorg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</si>
</sst>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quot;€&quot;\ * #,##0.00_ ;_ &quot;€&quot;\ * \-#,##0.00_ ;_ &quot;€&quot;\ * &quot;-&quot;??_ ;_ @_ "/>
    <numFmt numFmtId="43" formatCode="_ * #,##0.00_ ;_ * \-#,##0.00_ ;_ * &quot;-&quot;??_ ;_ @_ "/>
    <numFmt numFmtId="164" formatCode="0.0%"/>
    <numFmt numFmtId="165" formatCode="_ &quot;€&quot;\ * #,##0_ ;_ &quot;€&quot;\ * \-#,##0_ ;_ &quot;€&quot;\ * &quot;-&quot;??_ ;_ @_ "/>
  </numFmts>
  <fonts count="20" x14ac:knownFonts="1">
    <font>
      <sz val="11"/>
      <color theme="1"/>
      <name val="Calibri"/>
      <family val="2"/>
      <scheme val="minor"/>
    </font>
    <font>
      <sz val="11"/>
      <color theme="1"/>
      <name val="Calibri"/>
      <family val="2"/>
      <scheme val="minor"/>
    </font>
    <font>
      <b/>
      <sz val="11"/>
      <color rgb="FF1D186C"/>
      <name val="Lucida Sans Unicode"/>
      <family val="2"/>
    </font>
    <font>
      <sz val="9"/>
      <color theme="1"/>
      <name val="Lucida Sans Unicode"/>
      <family val="2"/>
    </font>
    <font>
      <b/>
      <sz val="9"/>
      <color theme="0"/>
      <name val="Lucida Sans Unicode"/>
      <family val="2"/>
    </font>
    <font>
      <b/>
      <sz val="9"/>
      <color theme="1"/>
      <name val="Lucida Sans Unicode"/>
      <family val="2"/>
    </font>
    <font>
      <sz val="8"/>
      <name val="Calibri"/>
      <family val="2"/>
      <scheme val="minor"/>
    </font>
    <font>
      <sz val="9"/>
      <color rgb="FFFF0000"/>
      <name val="Lucida Sans Unicode"/>
      <family val="2"/>
    </font>
    <font>
      <b/>
      <sz val="9"/>
      <color rgb="FFFF0000"/>
      <name val="Lucida Sans Unicode"/>
      <family val="2"/>
    </font>
    <font>
      <u/>
      <sz val="11"/>
      <color theme="10"/>
      <name val="Calibri"/>
      <family val="2"/>
      <scheme val="minor"/>
    </font>
    <font>
      <sz val="8"/>
      <color theme="1"/>
      <name val="Lucida Sans Unicode"/>
      <family val="2"/>
    </font>
    <font>
      <sz val="9"/>
      <color theme="0"/>
      <name val="Lucida Sans Unicode"/>
      <family val="2"/>
    </font>
    <font>
      <sz val="9"/>
      <name val="Lucida Sans Unicode"/>
      <family val="2"/>
    </font>
    <font>
      <b/>
      <sz val="9"/>
      <name val="Lucida Sans Unicode"/>
      <family val="2"/>
    </font>
    <font>
      <sz val="9"/>
      <color indexed="81"/>
      <name val="Tahoma"/>
      <family val="2"/>
    </font>
    <font>
      <b/>
      <sz val="9"/>
      <color indexed="81"/>
      <name val="Tahoma"/>
      <family val="2"/>
    </font>
    <font>
      <i/>
      <sz val="9"/>
      <color rgb="FFFF0000"/>
      <name val="Lucida Sans Unicode"/>
      <family val="2"/>
    </font>
    <font>
      <u/>
      <sz val="10"/>
      <color theme="10"/>
      <name val="Calibri"/>
      <family val="2"/>
      <scheme val="minor"/>
    </font>
    <font>
      <i/>
      <u/>
      <sz val="11"/>
      <color theme="10"/>
      <name val="Calibri"/>
      <family val="2"/>
      <scheme val="minor"/>
    </font>
    <font>
      <i/>
      <sz val="9"/>
      <color theme="1"/>
      <name val="Lucida Sans Unicode"/>
      <family val="2"/>
    </font>
  </fonts>
  <fills count="8">
    <fill>
      <patternFill patternType="none"/>
    </fill>
    <fill>
      <patternFill patternType="gray125"/>
    </fill>
    <fill>
      <patternFill patternType="solid">
        <fgColor rgb="FF1D186C"/>
        <bgColor indexed="64"/>
      </patternFill>
    </fill>
    <fill>
      <patternFill patternType="solid">
        <fgColor theme="0"/>
        <bgColor indexed="64"/>
      </patternFill>
    </fill>
    <fill>
      <patternFill patternType="solid">
        <fgColor rgb="FF897865"/>
        <bgColor indexed="64"/>
      </patternFill>
    </fill>
    <fill>
      <patternFill patternType="solid">
        <fgColor theme="4" tint="0.79998168889431442"/>
        <bgColor indexed="64"/>
      </patternFill>
    </fill>
    <fill>
      <patternFill patternType="solid">
        <fgColor rgb="FFFFFF00"/>
        <bgColor indexed="64"/>
      </patternFill>
    </fill>
    <fill>
      <patternFill patternType="solid">
        <fgColor theme="5" tint="0.79998168889431442"/>
        <bgColor indexed="64"/>
      </patternFill>
    </fill>
  </fills>
  <borders count="28">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top/>
      <bottom style="thin">
        <color theme="0"/>
      </bottom>
      <diagonal/>
    </border>
    <border>
      <left style="thin">
        <color theme="0"/>
      </left>
      <right style="thin">
        <color theme="0"/>
      </right>
      <top/>
      <bottom/>
      <diagonal/>
    </border>
    <border>
      <left/>
      <right/>
      <top style="thin">
        <color indexed="64"/>
      </top>
      <bottom style="medium">
        <color indexed="64"/>
      </bottom>
      <diagonal/>
    </border>
    <border>
      <left/>
      <right/>
      <top style="thin">
        <color rgb="FF1D186C"/>
      </top>
      <bottom/>
      <diagonal/>
    </border>
    <border>
      <left/>
      <right/>
      <top/>
      <bottom style="double">
        <color indexed="64"/>
      </bottom>
      <diagonal/>
    </border>
    <border>
      <left/>
      <right style="thin">
        <color indexed="64"/>
      </right>
      <top/>
      <bottom style="double">
        <color indexed="64"/>
      </bottom>
      <diagonal/>
    </border>
    <border>
      <left style="thin">
        <color theme="0"/>
      </left>
      <right/>
      <top style="thin">
        <color theme="0"/>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double">
        <color indexed="64"/>
      </bottom>
      <diagonal/>
    </border>
  </borders>
  <cellStyleXfs count="5">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9" fillId="0" borderId="0" applyNumberFormat="0" applyFill="0" applyBorder="0" applyAlignment="0" applyProtection="0"/>
  </cellStyleXfs>
  <cellXfs count="125">
    <xf numFmtId="0" fontId="0" fillId="0" borderId="0" xfId="0"/>
    <xf numFmtId="0" fontId="3" fillId="3" borderId="0" xfId="0" applyFont="1" applyFill="1"/>
    <xf numFmtId="0" fontId="3" fillId="0" borderId="0" xfId="0" applyFont="1"/>
    <xf numFmtId="0" fontId="4" fillId="2" borderId="0" xfId="0" applyFont="1" applyFill="1"/>
    <xf numFmtId="0" fontId="5" fillId="3" borderId="0" xfId="0" applyFont="1" applyFill="1"/>
    <xf numFmtId="0" fontId="4" fillId="4" borderId="0" xfId="0" applyFont="1" applyFill="1"/>
    <xf numFmtId="0" fontId="3" fillId="4" borderId="0" xfId="0" applyFont="1" applyFill="1"/>
    <xf numFmtId="165" fontId="3" fillId="3" borderId="0" xfId="3" applyNumberFormat="1" applyFont="1" applyFill="1"/>
    <xf numFmtId="0" fontId="3" fillId="0" borderId="6" xfId="0" applyFont="1" applyFill="1" applyBorder="1"/>
    <xf numFmtId="165" fontId="3" fillId="3" borderId="0" xfId="0" applyNumberFormat="1" applyFont="1" applyFill="1"/>
    <xf numFmtId="0" fontId="7" fillId="3" borderId="0" xfId="0" applyFont="1" applyFill="1" applyAlignment="1">
      <alignment vertical="top" wrapText="1"/>
    </xf>
    <xf numFmtId="165" fontId="3" fillId="3" borderId="0" xfId="3" applyNumberFormat="1" applyFont="1" applyFill="1" applyBorder="1" applyProtection="1">
      <protection locked="0"/>
    </xf>
    <xf numFmtId="9" fontId="3" fillId="3" borderId="0" xfId="1" applyFont="1" applyFill="1"/>
    <xf numFmtId="9" fontId="3" fillId="3" borderId="0" xfId="0" applyNumberFormat="1" applyFont="1" applyFill="1"/>
    <xf numFmtId="0" fontId="3" fillId="3" borderId="0" xfId="0" applyFont="1" applyFill="1" applyAlignment="1">
      <alignment horizontal="left" wrapText="1"/>
    </xf>
    <xf numFmtId="0" fontId="3" fillId="3" borderId="0" xfId="0" applyFont="1" applyFill="1" applyAlignment="1"/>
    <xf numFmtId="0" fontId="3" fillId="3" borderId="6" xfId="0" applyFont="1" applyFill="1" applyBorder="1"/>
    <xf numFmtId="0" fontId="3" fillId="0" borderId="8" xfId="0" applyFont="1" applyBorder="1"/>
    <xf numFmtId="165" fontId="3" fillId="3" borderId="0" xfId="3" applyNumberFormat="1" applyFont="1" applyFill="1" applyAlignment="1">
      <alignment horizontal="center" vertical="center"/>
    </xf>
    <xf numFmtId="0" fontId="3" fillId="3" borderId="10" xfId="0" quotePrefix="1" applyFont="1" applyFill="1" applyBorder="1"/>
    <xf numFmtId="165" fontId="3" fillId="3" borderId="1" xfId="3" applyNumberFormat="1" applyFont="1" applyFill="1" applyBorder="1" applyAlignment="1">
      <alignment horizontal="center" vertical="center"/>
    </xf>
    <xf numFmtId="0" fontId="3" fillId="3" borderId="0" xfId="0" quotePrefix="1" applyFont="1" applyFill="1"/>
    <xf numFmtId="0" fontId="5" fillId="3" borderId="6" xfId="0" applyFont="1" applyFill="1" applyBorder="1"/>
    <xf numFmtId="0" fontId="3" fillId="0" borderId="11" xfId="0" applyFont="1" applyBorder="1"/>
    <xf numFmtId="3" fontId="3" fillId="0" borderId="6" xfId="0" applyNumberFormat="1" applyFont="1" applyBorder="1" applyAlignment="1">
      <alignment horizontal="center" vertical="center"/>
    </xf>
    <xf numFmtId="3" fontId="3" fillId="3" borderId="12" xfId="0" applyNumberFormat="1" applyFont="1" applyFill="1" applyBorder="1"/>
    <xf numFmtId="3" fontId="3" fillId="3" borderId="8" xfId="0" applyNumberFormat="1" applyFont="1" applyFill="1" applyBorder="1"/>
    <xf numFmtId="165" fontId="5" fillId="3" borderId="0" xfId="3" applyNumberFormat="1" applyFont="1" applyFill="1"/>
    <xf numFmtId="0" fontId="4" fillId="3" borderId="0" xfId="0" applyFont="1" applyFill="1"/>
    <xf numFmtId="10" fontId="3" fillId="3" borderId="0" xfId="1" applyNumberFormat="1" applyFont="1" applyFill="1"/>
    <xf numFmtId="0" fontId="3" fillId="3" borderId="0" xfId="0" applyFont="1" applyFill="1" applyAlignment="1">
      <alignment horizontal="left" vertical="top"/>
    </xf>
    <xf numFmtId="0" fontId="3" fillId="0" borderId="0" xfId="0" applyFont="1" applyAlignment="1">
      <alignment horizontal="left" vertical="top"/>
    </xf>
    <xf numFmtId="165" fontId="5" fillId="3" borderId="13" xfId="3" applyNumberFormat="1" applyFont="1" applyFill="1" applyBorder="1"/>
    <xf numFmtId="0" fontId="7" fillId="3" borderId="0" xfId="0" applyFont="1" applyFill="1"/>
    <xf numFmtId="0" fontId="8" fillId="3" borderId="0" xfId="0" applyFont="1" applyFill="1"/>
    <xf numFmtId="0" fontId="5" fillId="3" borderId="0" xfId="0" applyFont="1" applyFill="1" applyAlignment="1">
      <alignment wrapText="1"/>
    </xf>
    <xf numFmtId="0" fontId="4" fillId="3" borderId="0" xfId="0" applyFont="1" applyFill="1" applyAlignment="1">
      <alignment wrapText="1"/>
    </xf>
    <xf numFmtId="0" fontId="3" fillId="3" borderId="0" xfId="0" applyFont="1" applyFill="1" applyAlignment="1">
      <alignment wrapText="1"/>
    </xf>
    <xf numFmtId="0" fontId="5" fillId="2" borderId="0" xfId="0" applyFont="1" applyFill="1"/>
    <xf numFmtId="9" fontId="10" fillId="3" borderId="0" xfId="1" applyFont="1" applyFill="1"/>
    <xf numFmtId="0" fontId="3" fillId="3" borderId="0" xfId="0" applyFont="1" applyFill="1" applyAlignment="1">
      <alignment vertical="top" wrapText="1"/>
    </xf>
    <xf numFmtId="0" fontId="5" fillId="3" borderId="0" xfId="0" applyFont="1" applyFill="1" applyAlignment="1">
      <alignment horizontal="center" wrapText="1"/>
    </xf>
    <xf numFmtId="0" fontId="11" fillId="4" borderId="0" xfId="0" applyFont="1" applyFill="1" applyAlignment="1"/>
    <xf numFmtId="0" fontId="4" fillId="4" borderId="0" xfId="0" applyFont="1" applyFill="1" applyAlignment="1"/>
    <xf numFmtId="0" fontId="5" fillId="3" borderId="0" xfId="0" applyFont="1" applyFill="1" applyAlignment="1"/>
    <xf numFmtId="165" fontId="3" fillId="3" borderId="0" xfId="0" applyNumberFormat="1" applyFont="1" applyFill="1" applyAlignment="1"/>
    <xf numFmtId="165" fontId="3" fillId="3" borderId="0" xfId="0" applyNumberFormat="1" applyFont="1" applyFill="1" applyBorder="1" applyAlignment="1"/>
    <xf numFmtId="0" fontId="3" fillId="0" borderId="14" xfId="0" applyFont="1" applyBorder="1"/>
    <xf numFmtId="165" fontId="3" fillId="3" borderId="0" xfId="0" applyNumberFormat="1" applyFont="1" applyFill="1" applyBorder="1" applyAlignment="1">
      <alignment horizontal="right"/>
    </xf>
    <xf numFmtId="0" fontId="3" fillId="3" borderId="14" xfId="0" applyFont="1" applyFill="1" applyBorder="1" applyAlignment="1"/>
    <xf numFmtId="165" fontId="5" fillId="3" borderId="0" xfId="0" applyNumberFormat="1" applyFont="1" applyFill="1" applyAlignment="1"/>
    <xf numFmtId="0" fontId="12" fillId="3" borderId="9" xfId="0" applyFont="1" applyFill="1" applyBorder="1"/>
    <xf numFmtId="0" fontId="13" fillId="3" borderId="0" xfId="0" applyFont="1" applyFill="1"/>
    <xf numFmtId="165" fontId="13" fillId="3" borderId="0" xfId="0" applyNumberFormat="1" applyFont="1" applyFill="1"/>
    <xf numFmtId="0" fontId="12" fillId="3" borderId="9" xfId="0" quotePrefix="1" applyFont="1" applyFill="1" applyBorder="1"/>
    <xf numFmtId="0" fontId="11" fillId="3" borderId="0" xfId="0" applyFont="1" applyFill="1"/>
    <xf numFmtId="0" fontId="2" fillId="3" borderId="0" xfId="0" applyFont="1" applyFill="1"/>
    <xf numFmtId="165" fontId="3" fillId="3" borderId="1" xfId="0" applyNumberFormat="1" applyFont="1" applyFill="1" applyBorder="1"/>
    <xf numFmtId="164" fontId="3" fillId="3" borderId="0" xfId="1" applyNumberFormat="1" applyFont="1" applyFill="1"/>
    <xf numFmtId="0" fontId="5" fillId="3" borderId="0" xfId="0" applyFont="1" applyFill="1" applyAlignment="1">
      <alignment horizontal="center" vertical="top" wrapText="1"/>
    </xf>
    <xf numFmtId="9" fontId="3" fillId="3" borderId="0" xfId="0" applyNumberFormat="1" applyFont="1" applyFill="1" applyAlignment="1">
      <alignment wrapText="1"/>
    </xf>
    <xf numFmtId="3" fontId="3" fillId="5" borderId="1" xfId="0" applyNumberFormat="1" applyFont="1" applyFill="1" applyBorder="1" applyAlignment="1" applyProtection="1">
      <alignment horizontal="right"/>
      <protection locked="0"/>
    </xf>
    <xf numFmtId="9" fontId="5" fillId="3" borderId="0" xfId="1" applyFont="1" applyFill="1" applyProtection="1">
      <protection locked="0"/>
    </xf>
    <xf numFmtId="0" fontId="3" fillId="3" borderId="0" xfId="0" applyFont="1" applyFill="1" applyBorder="1"/>
    <xf numFmtId="0" fontId="3" fillId="0" borderId="17" xfId="0" applyFont="1" applyFill="1" applyBorder="1"/>
    <xf numFmtId="164" fontId="3" fillId="5" borderId="0" xfId="1" applyNumberFormat="1" applyFont="1" applyFill="1" applyBorder="1" applyProtection="1">
      <protection locked="0"/>
    </xf>
    <xf numFmtId="0" fontId="3" fillId="3" borderId="18" xfId="0" applyFont="1" applyFill="1" applyBorder="1" applyAlignment="1"/>
    <xf numFmtId="165" fontId="3" fillId="3" borderId="18" xfId="0" applyNumberFormat="1" applyFont="1" applyFill="1" applyBorder="1" applyAlignment="1"/>
    <xf numFmtId="0" fontId="3" fillId="3" borderId="0" xfId="0" applyFont="1" applyFill="1" applyAlignment="1">
      <alignment horizontal="left" wrapText="1"/>
    </xf>
    <xf numFmtId="0" fontId="3" fillId="3" borderId="0" xfId="0" applyFont="1" applyFill="1" applyAlignment="1">
      <alignment horizontal="left" vertical="top" wrapText="1"/>
    </xf>
    <xf numFmtId="0" fontId="5" fillId="3" borderId="19" xfId="0" applyFont="1" applyFill="1" applyBorder="1"/>
    <xf numFmtId="0" fontId="16" fillId="3" borderId="0" xfId="0" applyFont="1" applyFill="1"/>
    <xf numFmtId="0" fontId="9" fillId="3" borderId="0" xfId="4" applyFill="1"/>
    <xf numFmtId="165" fontId="17" fillId="3" borderId="0" xfId="4" applyNumberFormat="1" applyFont="1" applyFill="1" applyAlignment="1">
      <alignment vertical="top" wrapText="1"/>
    </xf>
    <xf numFmtId="0" fontId="5" fillId="5" borderId="20" xfId="0" applyFont="1" applyFill="1" applyBorder="1" applyAlignment="1" applyProtection="1">
      <protection locked="0"/>
    </xf>
    <xf numFmtId="165" fontId="3" fillId="3" borderId="1" xfId="3" applyNumberFormat="1" applyFont="1" applyFill="1" applyBorder="1"/>
    <xf numFmtId="0" fontId="3" fillId="3" borderId="1" xfId="0" applyFont="1" applyFill="1" applyBorder="1" applyAlignment="1"/>
    <xf numFmtId="165" fontId="3" fillId="3" borderId="0" xfId="3" applyNumberFormat="1" applyFont="1" applyFill="1" applyProtection="1">
      <protection locked="0"/>
    </xf>
    <xf numFmtId="165" fontId="3" fillId="3" borderId="4" xfId="3" applyNumberFormat="1" applyFont="1" applyFill="1" applyBorder="1"/>
    <xf numFmtId="165" fontId="3" fillId="3" borderId="2" xfId="3" applyNumberFormat="1" applyFont="1" applyFill="1" applyBorder="1"/>
    <xf numFmtId="165" fontId="3" fillId="3" borderId="3" xfId="3" applyNumberFormat="1" applyFont="1" applyFill="1" applyBorder="1"/>
    <xf numFmtId="165" fontId="3" fillId="3" borderId="15" xfId="3" applyNumberFormat="1" applyFont="1" applyFill="1" applyBorder="1"/>
    <xf numFmtId="165" fontId="3" fillId="3" borderId="16" xfId="3" applyNumberFormat="1" applyFont="1" applyFill="1" applyBorder="1"/>
    <xf numFmtId="165" fontId="3" fillId="5" borderId="0" xfId="3" applyNumberFormat="1" applyFont="1" applyFill="1" applyAlignment="1" applyProtection="1">
      <alignment horizontal="center"/>
      <protection locked="0"/>
    </xf>
    <xf numFmtId="1" fontId="3" fillId="5" borderId="0" xfId="0" applyNumberFormat="1" applyFont="1" applyFill="1" applyAlignment="1" applyProtection="1">
      <alignment horizontal="right"/>
      <protection locked="0"/>
    </xf>
    <xf numFmtId="165" fontId="3" fillId="5" borderId="0" xfId="3" applyNumberFormat="1" applyFont="1" applyFill="1" applyBorder="1" applyProtection="1">
      <protection locked="0"/>
    </xf>
    <xf numFmtId="165" fontId="3" fillId="5" borderId="1" xfId="3" applyNumberFormat="1" applyFont="1" applyFill="1" applyBorder="1" applyAlignment="1" applyProtection="1">
      <alignment horizontal="right"/>
      <protection locked="0"/>
    </xf>
    <xf numFmtId="165" fontId="3" fillId="5" borderId="0" xfId="3" applyNumberFormat="1" applyFont="1" applyFill="1" applyProtection="1">
      <protection locked="0"/>
    </xf>
    <xf numFmtId="0" fontId="18" fillId="3" borderId="0" xfId="4" applyFont="1" applyFill="1"/>
    <xf numFmtId="0" fontId="5" fillId="3" borderId="7" xfId="0" applyFont="1" applyFill="1" applyBorder="1"/>
    <xf numFmtId="0" fontId="4" fillId="4" borderId="1" xfId="0" applyFont="1" applyFill="1" applyBorder="1" applyAlignment="1">
      <alignment horizontal="center"/>
    </xf>
    <xf numFmtId="0" fontId="4" fillId="4" borderId="5" xfId="0" applyFont="1" applyFill="1" applyBorder="1" applyAlignment="1">
      <alignment horizontal="center"/>
    </xf>
    <xf numFmtId="0" fontId="3" fillId="3" borderId="21" xfId="0" applyFont="1" applyFill="1" applyBorder="1"/>
    <xf numFmtId="165" fontId="3" fillId="3" borderId="22" xfId="3" applyNumberFormat="1" applyFont="1" applyFill="1" applyBorder="1"/>
    <xf numFmtId="165" fontId="3" fillId="3" borderId="23" xfId="3" applyNumberFormat="1" applyFont="1" applyFill="1" applyBorder="1"/>
    <xf numFmtId="165" fontId="3" fillId="3" borderId="0" xfId="3" applyNumberFormat="1" applyFont="1" applyFill="1" applyProtection="1"/>
    <xf numFmtId="165" fontId="3" fillId="3" borderId="1" xfId="3" applyNumberFormat="1" applyFont="1" applyFill="1" applyBorder="1" applyProtection="1"/>
    <xf numFmtId="165" fontId="3" fillId="5" borderId="4" xfId="3" applyNumberFormat="1" applyFont="1" applyFill="1" applyBorder="1" applyProtection="1">
      <protection locked="0"/>
    </xf>
    <xf numFmtId="165" fontId="3" fillId="3" borderId="0" xfId="3" applyNumberFormat="1" applyFont="1" applyFill="1" applyBorder="1" applyProtection="1"/>
    <xf numFmtId="3" fontId="3" fillId="3" borderId="0" xfId="2" applyNumberFormat="1" applyFont="1" applyFill="1" applyBorder="1" applyProtection="1"/>
    <xf numFmtId="0" fontId="4" fillId="4" borderId="25" xfId="0" applyFont="1" applyFill="1" applyBorder="1"/>
    <xf numFmtId="0" fontId="3" fillId="3" borderId="24" xfId="0" applyFont="1" applyFill="1" applyBorder="1"/>
    <xf numFmtId="0" fontId="3" fillId="5" borderId="24" xfId="0" applyFont="1" applyFill="1" applyBorder="1" applyProtection="1">
      <protection locked="0"/>
    </xf>
    <xf numFmtId="0" fontId="3" fillId="3" borderId="26" xfId="0" applyFont="1" applyFill="1" applyBorder="1"/>
    <xf numFmtId="0" fontId="3" fillId="3" borderId="27" xfId="0" applyFont="1" applyFill="1" applyBorder="1"/>
    <xf numFmtId="165" fontId="3" fillId="5" borderId="0" xfId="3" applyNumberFormat="1" applyFont="1" applyFill="1" applyAlignment="1" applyProtection="1">
      <alignment horizontal="center" vertical="center"/>
      <protection locked="0"/>
    </xf>
    <xf numFmtId="0" fontId="12" fillId="3" borderId="0" xfId="0" applyFont="1" applyFill="1"/>
    <xf numFmtId="3" fontId="3" fillId="5" borderId="0" xfId="0" applyNumberFormat="1" applyFont="1" applyFill="1" applyProtection="1">
      <protection locked="0"/>
    </xf>
    <xf numFmtId="165" fontId="3" fillId="3" borderId="4" xfId="3" applyNumberFormat="1" applyFont="1" applyFill="1" applyBorder="1" applyProtection="1">
      <protection locked="0"/>
    </xf>
    <xf numFmtId="0" fontId="3" fillId="3" borderId="0" xfId="0" applyFont="1" applyFill="1" applyAlignment="1">
      <alignment horizontal="left" vertical="top" wrapText="1"/>
    </xf>
    <xf numFmtId="165" fontId="3" fillId="3" borderId="0" xfId="0" applyNumberFormat="1" applyFont="1" applyFill="1" applyBorder="1"/>
    <xf numFmtId="0" fontId="19" fillId="3" borderId="0" xfId="0" applyFont="1" applyFill="1"/>
    <xf numFmtId="9" fontId="3" fillId="5" borderId="0" xfId="1" applyFont="1" applyFill="1" applyAlignment="1" applyProtection="1">
      <alignment horizontal="center"/>
      <protection locked="0"/>
    </xf>
    <xf numFmtId="0" fontId="3" fillId="3" borderId="24" xfId="0" applyFont="1" applyFill="1" applyBorder="1" applyProtection="1">
      <protection locked="0"/>
    </xf>
    <xf numFmtId="9" fontId="3" fillId="3" borderId="4" xfId="1" applyFont="1" applyFill="1" applyBorder="1"/>
    <xf numFmtId="164" fontId="8" fillId="6" borderId="0" xfId="0" applyNumberFormat="1" applyFont="1" applyFill="1" applyAlignment="1">
      <alignment horizontal="center"/>
    </xf>
    <xf numFmtId="0" fontId="3" fillId="7" borderId="0" xfId="0" applyFont="1" applyFill="1" applyAlignment="1"/>
    <xf numFmtId="165" fontId="3" fillId="7" borderId="0" xfId="0" applyNumberFormat="1" applyFont="1" applyFill="1" applyAlignment="1"/>
    <xf numFmtId="0" fontId="3" fillId="7" borderId="0" xfId="0" applyFont="1" applyFill="1" applyAlignment="1">
      <alignment horizontal="center"/>
    </xf>
    <xf numFmtId="165" fontId="3" fillId="7" borderId="1" xfId="0" applyNumberFormat="1" applyFont="1" applyFill="1" applyBorder="1" applyAlignment="1"/>
    <xf numFmtId="0" fontId="4" fillId="2" borderId="0" xfId="0" applyFont="1" applyFill="1" applyAlignment="1">
      <alignment horizontal="left"/>
    </xf>
    <xf numFmtId="0" fontId="3" fillId="3" borderId="0" xfId="0" applyFont="1" applyFill="1" applyAlignment="1">
      <alignment horizontal="left" vertical="top" wrapText="1"/>
    </xf>
    <xf numFmtId="0" fontId="4" fillId="2" borderId="24" xfId="0" applyFont="1" applyFill="1" applyBorder="1" applyAlignment="1">
      <alignment horizontal="center"/>
    </xf>
    <xf numFmtId="0" fontId="4" fillId="2" borderId="0" xfId="0" applyFont="1" applyFill="1" applyBorder="1" applyAlignment="1">
      <alignment horizontal="center"/>
    </xf>
    <xf numFmtId="0" fontId="4" fillId="2" borderId="4" xfId="0" applyFont="1" applyFill="1" applyBorder="1" applyAlignment="1">
      <alignment horizontal="center"/>
    </xf>
  </cellXfs>
  <cellStyles count="5">
    <cellStyle name="Hyperlink" xfId="4" builtinId="8"/>
    <cellStyle name="Komma" xfId="2" builtinId="3"/>
    <cellStyle name="Procent" xfId="1" builtinId="5"/>
    <cellStyle name="Standaard" xfId="0" builtinId="0"/>
    <cellStyle name="Valuta" xfId="3" builtinId="4"/>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897865"/>
      <color rgb="FF1D18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9526</xdr:colOff>
      <xdr:row>0</xdr:row>
      <xdr:rowOff>0</xdr:rowOff>
    </xdr:from>
    <xdr:to>
      <xdr:col>1</xdr:col>
      <xdr:colOff>9526</xdr:colOff>
      <xdr:row>8</xdr:row>
      <xdr:rowOff>12700</xdr:rowOff>
    </xdr:to>
    <xdr:pic>
      <xdr:nvPicPr>
        <xdr:cNvPr id="2" name="Afbeelding 1">
          <a:extLst>
            <a:ext uri="{FF2B5EF4-FFF2-40B4-BE49-F238E27FC236}">
              <a16:creationId xmlns:a16="http://schemas.microsoft.com/office/drawing/2014/main" id="{ABE21D13-BEED-40D4-B521-0A4465F758C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6" y="0"/>
          <a:ext cx="0" cy="1755775"/>
        </a:xfrm>
        <a:prstGeom prst="rect">
          <a:avLst/>
        </a:prstGeom>
        <a:noFill/>
        <a:ln>
          <a:noFill/>
        </a:ln>
      </xdr:spPr>
    </xdr:pic>
    <xdr:clientData/>
  </xdr:twoCellAnchor>
  <xdr:twoCellAnchor editAs="oneCell">
    <xdr:from>
      <xdr:col>3</xdr:col>
      <xdr:colOff>1403350</xdr:colOff>
      <xdr:row>0</xdr:row>
      <xdr:rowOff>0</xdr:rowOff>
    </xdr:from>
    <xdr:to>
      <xdr:col>6</xdr:col>
      <xdr:colOff>69850</xdr:colOff>
      <xdr:row>5</xdr:row>
      <xdr:rowOff>88900</xdr:rowOff>
    </xdr:to>
    <xdr:pic>
      <xdr:nvPicPr>
        <xdr:cNvPr id="3" name="Afbeelding 2" descr="Afbeelding met tekening&#10;&#10;Automatisch gegenereerde beschrijving">
          <a:extLst>
            <a:ext uri="{FF2B5EF4-FFF2-40B4-BE49-F238E27FC236}">
              <a16:creationId xmlns:a16="http://schemas.microsoft.com/office/drawing/2014/main" id="{4D059587-C653-450B-A269-8F28DA636C96}"/>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47050" y="0"/>
          <a:ext cx="2238375" cy="1317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9526</xdr:colOff>
      <xdr:row>0</xdr:row>
      <xdr:rowOff>0</xdr:rowOff>
    </xdr:from>
    <xdr:to>
      <xdr:col>1</xdr:col>
      <xdr:colOff>9526</xdr:colOff>
      <xdr:row>8</xdr:row>
      <xdr:rowOff>12700</xdr:rowOff>
    </xdr:to>
    <xdr:pic>
      <xdr:nvPicPr>
        <xdr:cNvPr id="2" name="Afbeelding 1">
          <a:extLst>
            <a:ext uri="{FF2B5EF4-FFF2-40B4-BE49-F238E27FC236}">
              <a16:creationId xmlns:a16="http://schemas.microsoft.com/office/drawing/2014/main" id="{8CA834DF-D390-4055-9DCA-F318C09574C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6" y="104775"/>
          <a:ext cx="0" cy="2047875"/>
        </a:xfrm>
        <a:prstGeom prst="rect">
          <a:avLst/>
        </a:prstGeom>
        <a:noFill/>
        <a:ln>
          <a:noFill/>
        </a:ln>
      </xdr:spPr>
    </xdr:pic>
    <xdr:clientData/>
  </xdr:twoCellAnchor>
  <xdr:twoCellAnchor editAs="oneCell">
    <xdr:from>
      <xdr:col>3</xdr:col>
      <xdr:colOff>1403350</xdr:colOff>
      <xdr:row>0</xdr:row>
      <xdr:rowOff>0</xdr:rowOff>
    </xdr:from>
    <xdr:to>
      <xdr:col>6</xdr:col>
      <xdr:colOff>69850</xdr:colOff>
      <xdr:row>5</xdr:row>
      <xdr:rowOff>88900</xdr:rowOff>
    </xdr:to>
    <xdr:pic>
      <xdr:nvPicPr>
        <xdr:cNvPr id="4" name="Afbeelding 3" descr="Afbeelding met tekening&#10;&#10;Automatisch gegenereerde beschrijving">
          <a:extLst>
            <a:ext uri="{FF2B5EF4-FFF2-40B4-BE49-F238E27FC236}">
              <a16:creationId xmlns:a16="http://schemas.microsoft.com/office/drawing/2014/main" id="{2AE1E56E-5605-4B94-B3BB-F0E1388E1045}"/>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509000" y="0"/>
          <a:ext cx="2413000" cy="1254125"/>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accountanders.nl/fysiopraktijken/" TargetMode="External"/><Relationship Id="rId1" Type="http://schemas.openxmlformats.org/officeDocument/2006/relationships/hyperlink" Target="https://esj.nl/335/rekentool-voor-fysiopraktijken"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ccountanders.nl/fysiopraktijken/" TargetMode="External"/><Relationship Id="rId1" Type="http://schemas.openxmlformats.org/officeDocument/2006/relationships/hyperlink" Target="https://esj.nl/335/rekentool-voor-fysiopraktijken"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75DCE-E2AF-4CD8-B226-F987564A45BC}">
  <sheetPr>
    <tabColor rgb="FF897865"/>
    <pageSetUpPr fitToPage="1"/>
  </sheetPr>
  <dimension ref="A1:P211"/>
  <sheetViews>
    <sheetView tabSelected="1" topLeftCell="A62" zoomScaleNormal="100" workbookViewId="0">
      <selection activeCell="D98" sqref="D98"/>
    </sheetView>
  </sheetViews>
  <sheetFormatPr defaultColWidth="0" defaultRowHeight="13.5" customHeight="1" zeroHeight="1" x14ac:dyDescent="0.25"/>
  <cols>
    <col min="1" max="1" width="9.140625" style="2" customWidth="1"/>
    <col min="2" max="2" width="67.85546875" style="2" customWidth="1"/>
    <col min="3" max="5" width="24.140625" style="2" customWidth="1"/>
    <col min="6" max="6" width="5.28515625" style="2" customWidth="1"/>
    <col min="7" max="7" width="6.85546875" style="2" customWidth="1"/>
    <col min="8" max="16" width="0" style="2" hidden="1" customWidth="1"/>
    <col min="17" max="16384" width="38.28515625" style="2" hidden="1"/>
  </cols>
  <sheetData>
    <row r="1" spans="1:9" s="1" customFormat="1" x14ac:dyDescent="0.25">
      <c r="B1" s="89" t="s">
        <v>94</v>
      </c>
    </row>
    <row r="2" spans="1:9" s="1" customFormat="1" x14ac:dyDescent="0.25">
      <c r="B2" s="70" t="s">
        <v>82</v>
      </c>
    </row>
    <row r="3" spans="1:9" s="1" customFormat="1" x14ac:dyDescent="0.25">
      <c r="B3" s="74" t="s">
        <v>131</v>
      </c>
      <c r="G3" s="55" t="s">
        <v>52</v>
      </c>
    </row>
    <row r="4" spans="1:9" s="1" customFormat="1" ht="15" x14ac:dyDescent="0.25">
      <c r="C4" s="72"/>
      <c r="G4" s="55" t="s">
        <v>53</v>
      </c>
    </row>
    <row r="5" spans="1:9" s="1" customFormat="1" ht="41.85" customHeight="1" x14ac:dyDescent="0.25">
      <c r="B5" s="73" t="s">
        <v>81</v>
      </c>
    </row>
    <row r="6" spans="1:9" x14ac:dyDescent="0.25">
      <c r="A6" s="1"/>
      <c r="B6" s="1"/>
      <c r="C6" s="1"/>
      <c r="D6" s="1"/>
      <c r="E6" s="1"/>
      <c r="F6" s="1"/>
      <c r="G6" s="1"/>
      <c r="H6" s="1"/>
      <c r="I6" s="1"/>
    </row>
    <row r="7" spans="1:9" x14ac:dyDescent="0.25">
      <c r="A7" s="1"/>
      <c r="B7" s="120" t="s">
        <v>37</v>
      </c>
      <c r="C7" s="120"/>
      <c r="D7" s="120"/>
      <c r="E7" s="3"/>
      <c r="F7" s="38"/>
      <c r="G7" s="4"/>
      <c r="H7" s="1"/>
      <c r="I7" s="1"/>
    </row>
    <row r="8" spans="1:9" x14ac:dyDescent="0.25">
      <c r="A8" s="4" t="s">
        <v>32</v>
      </c>
      <c r="B8" s="5" t="s">
        <v>6</v>
      </c>
      <c r="C8" s="6"/>
      <c r="D8" s="6"/>
      <c r="E8" s="6"/>
      <c r="F8" s="6"/>
      <c r="G8" s="1"/>
      <c r="H8" s="1"/>
      <c r="I8" s="1"/>
    </row>
    <row r="9" spans="1:9" s="1" customFormat="1" x14ac:dyDescent="0.25">
      <c r="B9" s="1" t="s">
        <v>8</v>
      </c>
      <c r="E9" s="95">
        <f>'spec omzet 2019'!C20</f>
        <v>135000</v>
      </c>
      <c r="F9" s="39">
        <f>IFERROR(E9/E11,"")</f>
        <v>0.87096774193548387</v>
      </c>
    </row>
    <row r="10" spans="1:9" s="1" customFormat="1" x14ac:dyDescent="0.25">
      <c r="B10" s="1" t="s">
        <v>9</v>
      </c>
      <c r="E10" s="96">
        <f>'spec omzet 2019'!D20</f>
        <v>20000</v>
      </c>
      <c r="F10" s="39">
        <f>IFERROR(E10/$E$11,"")</f>
        <v>0.12903225806451613</v>
      </c>
    </row>
    <row r="11" spans="1:9" x14ac:dyDescent="0.25">
      <c r="A11" s="1"/>
      <c r="B11" s="8" t="s">
        <v>83</v>
      </c>
      <c r="C11" s="8"/>
      <c r="D11" s="64"/>
      <c r="E11" s="11">
        <f>SUM(E9:E10)</f>
        <v>155000</v>
      </c>
      <c r="F11" s="39">
        <f>IFERROR(E11/$E$11,"")</f>
        <v>1</v>
      </c>
      <c r="G11" s="1"/>
      <c r="H11" s="1"/>
      <c r="I11" s="1"/>
    </row>
    <row r="12" spans="1:9" s="1" customFormat="1" x14ac:dyDescent="0.25">
      <c r="B12" s="1" t="s">
        <v>73</v>
      </c>
      <c r="D12" s="65">
        <v>3.6999999999999998E-2</v>
      </c>
      <c r="F12" s="39"/>
    </row>
    <row r="13" spans="1:9" s="1" customFormat="1" x14ac:dyDescent="0.25">
      <c r="B13" s="1" t="s">
        <v>74</v>
      </c>
      <c r="E13" s="95">
        <f>E9*(1+D12)</f>
        <v>139995</v>
      </c>
    </row>
    <row r="14" spans="1:9" x14ac:dyDescent="0.25">
      <c r="A14" s="1"/>
      <c r="B14" s="8" t="s">
        <v>0</v>
      </c>
      <c r="C14" s="8"/>
      <c r="D14" s="83">
        <v>100000</v>
      </c>
      <c r="E14" s="98">
        <f>IF(D15="NEE",D14*1,D14*0.926)</f>
        <v>100000</v>
      </c>
      <c r="F14" s="39">
        <f>IFERROR(E14/E11,"")</f>
        <v>0.64516129032258063</v>
      </c>
      <c r="G14" s="10"/>
      <c r="H14" s="1"/>
      <c r="I14" s="1"/>
    </row>
    <row r="15" spans="1:9" s="1" customFormat="1" x14ac:dyDescent="0.25">
      <c r="B15" s="1" t="s">
        <v>54</v>
      </c>
      <c r="D15" s="84" t="s">
        <v>53</v>
      </c>
    </row>
    <row r="16" spans="1:9" s="1" customFormat="1" x14ac:dyDescent="0.25"/>
    <row r="17" spans="1:6" s="1" customFormat="1" x14ac:dyDescent="0.25">
      <c r="A17" s="4" t="s">
        <v>33</v>
      </c>
      <c r="B17" s="5" t="s">
        <v>85</v>
      </c>
      <c r="C17" s="5"/>
      <c r="D17" s="5"/>
      <c r="E17" s="5"/>
      <c r="F17" s="6"/>
    </row>
    <row r="18" spans="1:6" s="37" customFormat="1" ht="27" x14ac:dyDescent="0.25">
      <c r="A18" s="35"/>
      <c r="B18" s="36"/>
      <c r="C18" s="59" t="s">
        <v>43</v>
      </c>
      <c r="D18" s="59" t="s">
        <v>42</v>
      </c>
      <c r="E18" s="41" t="s">
        <v>39</v>
      </c>
    </row>
    <row r="19" spans="1:6" s="1" customFormat="1" x14ac:dyDescent="0.25">
      <c r="B19" s="1" t="s">
        <v>1</v>
      </c>
      <c r="C19" s="98">
        <f>'spec omzet 2020 mrt tm jul'!C16</f>
        <v>62155</v>
      </c>
      <c r="D19" s="98">
        <f>'spec omzet 2020 mrt tm jul'!D16</f>
        <v>15538.75</v>
      </c>
      <c r="E19" s="7">
        <f>SUM(C19:D19)</f>
        <v>77693.75</v>
      </c>
    </row>
    <row r="20" spans="1:6" s="1" customFormat="1" x14ac:dyDescent="0.25">
      <c r="B20" s="1" t="s">
        <v>2</v>
      </c>
      <c r="C20" s="98">
        <f>'spec omzet 2020 mrt tm jul'!C34</f>
        <v>31855</v>
      </c>
      <c r="D20" s="98">
        <f>'spec omzet 2020 mrt tm jul'!D34</f>
        <v>27963.75</v>
      </c>
      <c r="E20" s="7">
        <f>SUM(C20:D20)</f>
        <v>59818.75</v>
      </c>
    </row>
    <row r="21" spans="1:6" s="1" customFormat="1" x14ac:dyDescent="0.25">
      <c r="B21" s="1" t="s">
        <v>3</v>
      </c>
      <c r="C21" s="98">
        <f>'spec omzet 2020 mrt tm jul'!C52</f>
        <v>60757</v>
      </c>
      <c r="D21" s="98">
        <f>'spec omzet 2020 mrt tm jul'!D52</f>
        <v>15189.25</v>
      </c>
      <c r="E21" s="7">
        <f t="shared" ref="E21:E23" si="0">SUM(C21:D21)</f>
        <v>75946.25</v>
      </c>
    </row>
    <row r="22" spans="1:6" s="1" customFormat="1" x14ac:dyDescent="0.25">
      <c r="B22" s="1" t="s">
        <v>4</v>
      </c>
      <c r="C22" s="98">
        <f>'spec omzet 2020 mrt tm jul'!C70</f>
        <v>50000</v>
      </c>
      <c r="D22" s="98">
        <f>'spec omzet 2020 mrt tm jul'!D70+IF(D98="JA",E98,0)</f>
        <v>-26000</v>
      </c>
      <c r="E22" s="7">
        <f t="shared" si="0"/>
        <v>24000</v>
      </c>
    </row>
    <row r="23" spans="1:6" s="1" customFormat="1" x14ac:dyDescent="0.25">
      <c r="B23" s="1" t="s">
        <v>5</v>
      </c>
      <c r="C23" s="98">
        <f>'spec omzet 2020 mrt tm jul'!C88</f>
        <v>70000</v>
      </c>
      <c r="D23" s="98">
        <f>'spec omzet 2020 mrt tm jul'!D88</f>
        <v>17500</v>
      </c>
      <c r="E23" s="7">
        <f t="shared" si="0"/>
        <v>87500</v>
      </c>
    </row>
    <row r="24" spans="1:6" s="1" customFormat="1" x14ac:dyDescent="0.25">
      <c r="C24" s="99"/>
      <c r="D24" s="99"/>
      <c r="E24" s="7"/>
    </row>
    <row r="25" spans="1:6" s="1" customFormat="1" x14ac:dyDescent="0.25">
      <c r="A25" s="4" t="s">
        <v>34</v>
      </c>
      <c r="B25" s="5" t="s">
        <v>18</v>
      </c>
      <c r="C25" s="6"/>
      <c r="D25" s="6"/>
      <c r="E25" s="6"/>
      <c r="F25" s="6"/>
    </row>
    <row r="26" spans="1:6" s="1" customFormat="1" x14ac:dyDescent="0.25">
      <c r="B26" s="4" t="s">
        <v>7</v>
      </c>
      <c r="E26" s="62">
        <v>0.86</v>
      </c>
    </row>
    <row r="27" spans="1:6" s="1" customFormat="1" hidden="1" x14ac:dyDescent="0.25"/>
    <row r="28" spans="1:6" s="1" customFormat="1" x14ac:dyDescent="0.25">
      <c r="B28" s="1" t="s">
        <v>1</v>
      </c>
      <c r="E28" s="9">
        <f>MAX($E$26*($E$13-C19),0)</f>
        <v>66942.399999999994</v>
      </c>
    </row>
    <row r="29" spans="1:6" s="1" customFormat="1" x14ac:dyDescent="0.25">
      <c r="B29" s="1" t="s">
        <v>2</v>
      </c>
      <c r="E29" s="9">
        <f>MAX($E$26*($E$13-C20),0)</f>
        <v>93000.4</v>
      </c>
    </row>
    <row r="30" spans="1:6" s="1" customFormat="1" x14ac:dyDescent="0.25">
      <c r="B30" s="1" t="s">
        <v>3</v>
      </c>
      <c r="E30" s="9">
        <f>MAX($E$26*($E$13-C21),0)</f>
        <v>68144.679999999993</v>
      </c>
    </row>
    <row r="31" spans="1:6" s="1" customFormat="1" x14ac:dyDescent="0.25">
      <c r="B31" s="1" t="s">
        <v>4</v>
      </c>
      <c r="E31" s="110">
        <f>MAX($E$26*($E$13-C22),0)</f>
        <v>77395.7</v>
      </c>
    </row>
    <row r="32" spans="1:6" s="1" customFormat="1" x14ac:dyDescent="0.25">
      <c r="E32" s="57"/>
    </row>
    <row r="33" spans="1:6" s="1" customFormat="1" x14ac:dyDescent="0.25">
      <c r="B33" s="1" t="s">
        <v>39</v>
      </c>
      <c r="C33" s="33"/>
      <c r="D33" s="33"/>
      <c r="E33" s="9">
        <f>SUM(E28:E31)</f>
        <v>305483.18</v>
      </c>
    </row>
    <row r="34" spans="1:6" s="1" customFormat="1" x14ac:dyDescent="0.25">
      <c r="B34" s="1" t="s">
        <v>45</v>
      </c>
      <c r="C34" s="33"/>
      <c r="D34" s="33"/>
      <c r="E34" s="86">
        <v>0</v>
      </c>
    </row>
    <row r="35" spans="1:6" s="1" customFormat="1" x14ac:dyDescent="0.25">
      <c r="B35" s="1" t="s">
        <v>40</v>
      </c>
      <c r="C35" s="33"/>
      <c r="D35" s="33"/>
      <c r="E35" s="9">
        <f>SUM(E33:E34)</f>
        <v>305483.18</v>
      </c>
    </row>
    <row r="36" spans="1:6" s="1" customFormat="1" hidden="1" x14ac:dyDescent="0.25">
      <c r="B36" s="1" t="s">
        <v>44</v>
      </c>
      <c r="C36" s="33"/>
      <c r="D36" s="33"/>
      <c r="E36" s="61" t="s">
        <v>41</v>
      </c>
    </row>
    <row r="37" spans="1:6" s="1" customFormat="1" hidden="1" x14ac:dyDescent="0.25">
      <c r="B37" s="33"/>
      <c r="C37" s="33"/>
      <c r="D37" s="33"/>
      <c r="E37" s="9">
        <f>SUM(E35:E36)</f>
        <v>305483.18</v>
      </c>
    </row>
    <row r="38" spans="1:6" s="1" customFormat="1" x14ac:dyDescent="0.25">
      <c r="B38" s="33"/>
      <c r="C38" s="33"/>
      <c r="D38" s="33"/>
      <c r="E38" s="9"/>
    </row>
    <row r="39" spans="1:6" s="1" customFormat="1" x14ac:dyDescent="0.25">
      <c r="A39" s="4" t="s">
        <v>35</v>
      </c>
      <c r="B39" s="5" t="s">
        <v>106</v>
      </c>
      <c r="C39" s="5"/>
      <c r="D39" s="5"/>
      <c r="E39" s="5"/>
      <c r="F39" s="6"/>
    </row>
    <row r="40" spans="1:6" s="1" customFormat="1" x14ac:dyDescent="0.25">
      <c r="B40" s="4" t="s">
        <v>10</v>
      </c>
    </row>
    <row r="41" spans="1:6" s="1" customFormat="1" x14ac:dyDescent="0.25">
      <c r="B41" s="1" t="s">
        <v>11</v>
      </c>
      <c r="D41" s="58">
        <f>IFERROR(-(1-SUM(E19:E21,E28:E30)/(3*$E$11)),"")</f>
        <v>-5.0438215053763336E-2</v>
      </c>
    </row>
    <row r="42" spans="1:6" s="1" customFormat="1" x14ac:dyDescent="0.25">
      <c r="B42" s="1" t="s">
        <v>12</v>
      </c>
      <c r="D42" s="58">
        <f>IFERROR(-(1-SUM(E20:E22,E29:E31)/(3*$E$11)),"")</f>
        <v>-0.14342843010752693</v>
      </c>
    </row>
    <row r="43" spans="1:6" s="1" customFormat="1" x14ac:dyDescent="0.25">
      <c r="B43" s="1" t="s">
        <v>13</v>
      </c>
      <c r="D43" s="58">
        <f>IFERROR(-(1-SUM(E21:E23,E30:E31)/(3*$E$11)),"")</f>
        <v>-0.28389972043010747</v>
      </c>
    </row>
    <row r="44" spans="1:6" s="1" customFormat="1" x14ac:dyDescent="0.25">
      <c r="B44" s="1" t="s">
        <v>14</v>
      </c>
      <c r="E44" s="13">
        <f>IF(-MIN(D41:D43)&lt;19.9%,0,-MIN(D41:D43))</f>
        <v>0.28389972043010747</v>
      </c>
    </row>
    <row r="45" spans="1:6" s="1" customFormat="1" x14ac:dyDescent="0.25">
      <c r="E45" s="13"/>
    </row>
    <row r="46" spans="1:6" s="1" customFormat="1" x14ac:dyDescent="0.25">
      <c r="B46" s="4" t="s">
        <v>26</v>
      </c>
    </row>
    <row r="47" spans="1:6" s="1" customFormat="1" x14ac:dyDescent="0.25">
      <c r="B47" s="1" t="s">
        <v>15</v>
      </c>
      <c r="E47" s="9">
        <f>E44*E14*3*1.3*90%</f>
        <v>99648.801870967727</v>
      </c>
    </row>
    <row r="48" spans="1:6" s="33" customFormat="1" x14ac:dyDescent="0.25">
      <c r="B48" s="1" t="s">
        <v>16</v>
      </c>
      <c r="E48" s="9">
        <f>E47*0.8</f>
        <v>79719.041496774182</v>
      </c>
    </row>
    <row r="49" spans="1:7" s="1" customFormat="1" ht="14.25" thickBot="1" x14ac:dyDescent="0.3">
      <c r="B49" s="1" t="s">
        <v>17</v>
      </c>
      <c r="E49" s="32">
        <f>E48/3</f>
        <v>26573.013832258061</v>
      </c>
    </row>
    <row r="50" spans="1:7" s="1" customFormat="1" x14ac:dyDescent="0.25">
      <c r="B50" s="15"/>
      <c r="C50" s="15"/>
      <c r="D50" s="15"/>
      <c r="E50" s="15"/>
      <c r="F50" s="15"/>
      <c r="G50" s="15"/>
    </row>
    <row r="51" spans="1:7" s="1" customFormat="1" x14ac:dyDescent="0.25">
      <c r="A51" s="4" t="s">
        <v>36</v>
      </c>
      <c r="B51" s="5" t="s">
        <v>107</v>
      </c>
      <c r="C51" s="5"/>
      <c r="D51" s="5"/>
      <c r="E51" s="5"/>
      <c r="F51" s="6"/>
      <c r="G51" s="15"/>
    </row>
    <row r="52" spans="1:7" s="1" customFormat="1" x14ac:dyDescent="0.25">
      <c r="B52" s="4" t="s">
        <v>31</v>
      </c>
      <c r="C52" s="28"/>
      <c r="D52" s="28"/>
      <c r="E52" s="28"/>
      <c r="F52" s="15"/>
      <c r="G52" s="15"/>
    </row>
    <row r="53" spans="1:7" s="1" customFormat="1" x14ac:dyDescent="0.25">
      <c r="B53" s="1" t="s">
        <v>55</v>
      </c>
      <c r="C53" s="112">
        <f>-D43</f>
        <v>0.28389972043010747</v>
      </c>
      <c r="D53" s="12">
        <f>IF(OR(C53&gt;0,C53&lt;0),C53,E44)</f>
        <v>0.28389972043010747</v>
      </c>
      <c r="E53" s="28"/>
      <c r="F53" s="15"/>
      <c r="G53" s="15"/>
    </row>
    <row r="54" spans="1:7" s="1" customFormat="1" x14ac:dyDescent="0.25">
      <c r="C54" s="28"/>
      <c r="D54" s="12"/>
      <c r="E54" s="28"/>
      <c r="F54" s="15"/>
      <c r="G54" s="15"/>
    </row>
    <row r="55" spans="1:7" s="1" customFormat="1" x14ac:dyDescent="0.25">
      <c r="B55" s="4" t="s">
        <v>84</v>
      </c>
      <c r="C55" s="28"/>
      <c r="D55" s="28"/>
      <c r="E55" s="28"/>
      <c r="F55" s="15"/>
      <c r="G55" s="15"/>
    </row>
    <row r="56" spans="1:7" s="1" customFormat="1" x14ac:dyDescent="0.25">
      <c r="B56" s="1" t="s">
        <v>27</v>
      </c>
      <c r="D56" s="105">
        <v>100000</v>
      </c>
      <c r="E56" s="28"/>
      <c r="F56" s="15"/>
      <c r="G56" s="15"/>
    </row>
    <row r="57" spans="1:7" s="1" customFormat="1" x14ac:dyDescent="0.25">
      <c r="B57" s="1" t="s">
        <v>28</v>
      </c>
      <c r="D57" s="105">
        <f>D56</f>
        <v>100000</v>
      </c>
      <c r="E57" s="28"/>
      <c r="F57" s="15"/>
      <c r="G57" s="15"/>
    </row>
    <row r="58" spans="1:7" s="1" customFormat="1" x14ac:dyDescent="0.25">
      <c r="B58" s="1" t="s">
        <v>51</v>
      </c>
      <c r="D58" s="105">
        <f>D56</f>
        <v>100000</v>
      </c>
      <c r="E58" s="28"/>
      <c r="F58" s="15"/>
      <c r="G58" s="15"/>
    </row>
    <row r="59" spans="1:7" s="1" customFormat="1" x14ac:dyDescent="0.25">
      <c r="B59" s="1" t="s">
        <v>29</v>
      </c>
      <c r="D59" s="7">
        <f>SUM(D56:D58)</f>
        <v>300000</v>
      </c>
      <c r="F59" s="15"/>
      <c r="G59" s="15"/>
    </row>
    <row r="60" spans="1:7" s="1" customFormat="1" x14ac:dyDescent="0.25">
      <c r="B60" s="1" t="s">
        <v>30</v>
      </c>
      <c r="C60" s="28"/>
      <c r="D60" s="29">
        <f>IFERROR(100%-D59/(E14*3),"")</f>
        <v>0</v>
      </c>
      <c r="F60" s="15"/>
      <c r="G60" s="15"/>
    </row>
    <row r="61" spans="1:7" s="1" customFormat="1" x14ac:dyDescent="0.25">
      <c r="C61" s="28"/>
      <c r="D61" s="29"/>
      <c r="F61" s="15"/>
      <c r="G61" s="15"/>
    </row>
    <row r="62" spans="1:7" s="1" customFormat="1" x14ac:dyDescent="0.25">
      <c r="B62" s="106" t="s">
        <v>104</v>
      </c>
      <c r="C62" s="28"/>
      <c r="D62" s="107"/>
      <c r="F62" s="15"/>
      <c r="G62" s="15"/>
    </row>
    <row r="63" spans="1:7" s="1" customFormat="1" x14ac:dyDescent="0.25">
      <c r="B63" s="4"/>
      <c r="C63" s="28"/>
      <c r="D63" s="28"/>
      <c r="E63" s="52"/>
      <c r="F63" s="15"/>
      <c r="G63" s="15"/>
    </row>
    <row r="64" spans="1:7" s="1" customFormat="1" x14ac:dyDescent="0.25">
      <c r="B64" s="22" t="s">
        <v>19</v>
      </c>
      <c r="C64" s="28"/>
      <c r="D64" s="28"/>
      <c r="E64" s="53"/>
      <c r="F64" s="15"/>
      <c r="G64" s="15"/>
    </row>
    <row r="65" spans="1:16" s="1" customFormat="1" x14ac:dyDescent="0.25">
      <c r="B65" s="1" t="s">
        <v>105</v>
      </c>
      <c r="C65" s="17"/>
      <c r="D65" s="18">
        <f>IF(AND(D59&gt;3*D62,D56*3&gt;D62*3),SUM(D56,MIN(D56,D57),MIN(D56,D58))*1.3*D53*0.9,D62*3*1.3*0.9*D53)</f>
        <v>99648.801870967727</v>
      </c>
      <c r="E65" s="51"/>
      <c r="F65" s="15"/>
      <c r="G65" s="15"/>
    </row>
    <row r="66" spans="1:16" s="1" customFormat="1" x14ac:dyDescent="0.25">
      <c r="B66" s="16" t="s">
        <v>20</v>
      </c>
      <c r="C66" s="17"/>
      <c r="D66" s="18">
        <f>-E48</f>
        <v>-79719.041496774182</v>
      </c>
      <c r="E66" s="54" t="s">
        <v>21</v>
      </c>
      <c r="F66" s="15"/>
      <c r="G66" s="15"/>
    </row>
    <row r="67" spans="1:16" x14ac:dyDescent="0.25">
      <c r="A67" s="1"/>
      <c r="B67" s="16" t="s">
        <v>22</v>
      </c>
      <c r="C67" s="17"/>
      <c r="D67" s="18">
        <f>MAX(MIN(-((E14*3-D59)*1.3*0.9),0),-E48)</f>
        <v>0</v>
      </c>
      <c r="E67" s="19" t="s">
        <v>21</v>
      </c>
      <c r="F67" s="15"/>
      <c r="G67" s="15"/>
      <c r="H67" s="1"/>
      <c r="I67" s="1"/>
      <c r="J67" s="1"/>
      <c r="K67" s="1"/>
      <c r="L67" s="1"/>
      <c r="M67" s="1"/>
      <c r="N67" s="1"/>
      <c r="O67" s="1"/>
      <c r="P67" s="1"/>
    </row>
    <row r="68" spans="1:16" hidden="1" x14ac:dyDescent="0.25">
      <c r="A68" s="1"/>
      <c r="B68" s="16" t="s">
        <v>23</v>
      </c>
      <c r="C68" s="17"/>
      <c r="D68" s="20"/>
      <c r="E68" s="21"/>
      <c r="F68" s="15"/>
      <c r="G68" s="15"/>
      <c r="H68" s="1"/>
      <c r="I68" s="1"/>
    </row>
    <row r="69" spans="1:16" ht="14.25" thickBot="1" x14ac:dyDescent="0.3">
      <c r="A69" s="1"/>
      <c r="B69" s="22" t="s">
        <v>24</v>
      </c>
      <c r="C69" s="16"/>
      <c r="D69" s="23"/>
      <c r="E69" s="32">
        <f>MAX(D65+D66+D67+D68,-E48)</f>
        <v>19929.760374193545</v>
      </c>
      <c r="F69" s="15"/>
      <c r="G69" s="15"/>
      <c r="H69" s="1"/>
      <c r="I69" s="1"/>
    </row>
    <row r="70" spans="1:16" x14ac:dyDescent="0.25">
      <c r="A70" s="1"/>
      <c r="B70" s="16"/>
      <c r="C70" s="16"/>
      <c r="D70" s="24"/>
      <c r="E70" s="25"/>
      <c r="F70" s="15"/>
      <c r="G70" s="15"/>
      <c r="H70" s="1"/>
      <c r="I70" s="1"/>
    </row>
    <row r="71" spans="1:16" x14ac:dyDescent="0.25">
      <c r="A71" s="1"/>
      <c r="B71" s="22" t="s">
        <v>86</v>
      </c>
      <c r="C71" s="16"/>
      <c r="D71" s="26"/>
      <c r="E71" s="27">
        <f>MAX(D65+D67+D68,0)</f>
        <v>99648.801870967727</v>
      </c>
      <c r="F71" s="15"/>
      <c r="G71" s="15"/>
      <c r="H71" s="1"/>
      <c r="I71" s="1"/>
    </row>
    <row r="72" spans="1:16" x14ac:dyDescent="0.25">
      <c r="A72" s="1"/>
      <c r="B72" s="15"/>
      <c r="C72" s="15"/>
      <c r="D72" s="15"/>
      <c r="E72" s="15"/>
      <c r="F72" s="15"/>
      <c r="G72" s="15"/>
      <c r="H72" s="1"/>
      <c r="I72" s="1"/>
    </row>
    <row r="73" spans="1:16" s="1" customFormat="1" x14ac:dyDescent="0.25">
      <c r="A73" s="4" t="s">
        <v>38</v>
      </c>
      <c r="B73" s="5" t="s">
        <v>66</v>
      </c>
      <c r="C73" s="5"/>
      <c r="D73" s="5"/>
      <c r="E73" s="5"/>
      <c r="F73" s="6"/>
    </row>
    <row r="74" spans="1:16" s="37" customFormat="1" ht="27" x14ac:dyDescent="0.25">
      <c r="A74" s="35"/>
      <c r="B74" s="36"/>
      <c r="C74" s="41" t="s">
        <v>92</v>
      </c>
      <c r="D74" s="41" t="s">
        <v>79</v>
      </c>
      <c r="E74" s="41" t="s">
        <v>72</v>
      </c>
      <c r="F74" s="60">
        <v>0.45</v>
      </c>
    </row>
    <row r="75" spans="1:16" s="1" customFormat="1" x14ac:dyDescent="0.25">
      <c r="B75" s="1" t="s">
        <v>5</v>
      </c>
      <c r="C75" s="95">
        <f>C23</f>
        <v>70000</v>
      </c>
      <c r="D75" s="77"/>
      <c r="E75" s="7"/>
    </row>
    <row r="76" spans="1:16" s="1" customFormat="1" x14ac:dyDescent="0.25">
      <c r="A76" s="115">
        <v>0.2</v>
      </c>
      <c r="B76" s="1" t="s">
        <v>67</v>
      </c>
      <c r="C76" s="87">
        <f>$E$13*(1+A76)</f>
        <v>167994</v>
      </c>
      <c r="D76" s="77"/>
      <c r="E76" s="7"/>
    </row>
    <row r="77" spans="1:16" s="1" customFormat="1" x14ac:dyDescent="0.25">
      <c r="A77" s="115">
        <f>A76</f>
        <v>0.2</v>
      </c>
      <c r="B77" s="1" t="s">
        <v>68</v>
      </c>
      <c r="C77" s="87">
        <f t="shared" ref="C77:C80" si="1">$E$13*(1+A77)</f>
        <v>167994</v>
      </c>
      <c r="D77" s="77"/>
      <c r="E77" s="7"/>
    </row>
    <row r="78" spans="1:16" s="1" customFormat="1" x14ac:dyDescent="0.25">
      <c r="A78" s="115">
        <f>A76</f>
        <v>0.2</v>
      </c>
      <c r="B78" s="1" t="s">
        <v>69</v>
      </c>
      <c r="C78" s="87">
        <f t="shared" si="1"/>
        <v>167994</v>
      </c>
      <c r="D78" s="77"/>
      <c r="E78" s="7"/>
    </row>
    <row r="79" spans="1:16" s="1" customFormat="1" x14ac:dyDescent="0.25">
      <c r="A79" s="115">
        <f>A76</f>
        <v>0.2</v>
      </c>
      <c r="B79" s="1" t="s">
        <v>70</v>
      </c>
      <c r="C79" s="87">
        <f t="shared" si="1"/>
        <v>167994</v>
      </c>
      <c r="D79" s="77"/>
      <c r="E79" s="7"/>
    </row>
    <row r="80" spans="1:16" x14ac:dyDescent="0.25">
      <c r="A80" s="115">
        <f>A76</f>
        <v>0.2</v>
      </c>
      <c r="B80" s="15" t="s">
        <v>71</v>
      </c>
      <c r="C80" s="87">
        <f t="shared" si="1"/>
        <v>167994</v>
      </c>
      <c r="D80" s="77"/>
      <c r="E80" s="75"/>
      <c r="F80" s="15"/>
      <c r="G80" s="15"/>
      <c r="H80" s="1"/>
      <c r="I80" s="1"/>
    </row>
    <row r="81" spans="1:9" x14ac:dyDescent="0.25">
      <c r="A81" s="34"/>
      <c r="B81" s="15" t="s">
        <v>87</v>
      </c>
      <c r="C81" s="45">
        <f>SUM(C75:C80)</f>
        <v>909970</v>
      </c>
      <c r="D81" s="45">
        <f>MAX((C81-(6*E13)),0)</f>
        <v>70000</v>
      </c>
      <c r="E81" s="7">
        <f>MAX(-D81*(100%-F74),-E33)</f>
        <v>-38500</v>
      </c>
      <c r="F81" s="15"/>
      <c r="G81" s="15"/>
      <c r="H81" s="1"/>
      <c r="I81" s="1"/>
    </row>
    <row r="82" spans="1:9" x14ac:dyDescent="0.25">
      <c r="A82" s="34"/>
      <c r="B82" s="15"/>
      <c r="C82" s="15"/>
      <c r="D82" s="15"/>
      <c r="E82" s="7"/>
      <c r="F82" s="15"/>
      <c r="G82" s="15"/>
      <c r="H82" s="1"/>
      <c r="I82" s="1"/>
    </row>
    <row r="83" spans="1:9" x14ac:dyDescent="0.25">
      <c r="A83" s="34"/>
      <c r="B83" s="15"/>
      <c r="C83" s="15"/>
      <c r="D83" s="15"/>
      <c r="E83" s="45"/>
      <c r="F83" s="15"/>
      <c r="G83" s="15"/>
      <c r="H83" s="1"/>
      <c r="I83" s="1"/>
    </row>
    <row r="84" spans="1:9" x14ac:dyDescent="0.25">
      <c r="A84" s="4" t="s">
        <v>65</v>
      </c>
      <c r="B84" s="43" t="s">
        <v>46</v>
      </c>
      <c r="C84" s="42"/>
      <c r="D84" s="42"/>
      <c r="E84" s="42"/>
      <c r="F84" s="42"/>
      <c r="G84" s="15"/>
      <c r="H84" s="1"/>
      <c r="I84" s="1"/>
    </row>
    <row r="85" spans="1:9" x14ac:dyDescent="0.25">
      <c r="A85" s="34"/>
      <c r="B85" s="44" t="s">
        <v>47</v>
      </c>
      <c r="C85" s="15"/>
      <c r="D85" s="15"/>
      <c r="E85" s="15"/>
      <c r="F85" s="15"/>
      <c r="G85" s="15"/>
      <c r="H85" s="1"/>
      <c r="I85" s="1"/>
    </row>
    <row r="86" spans="1:9" x14ac:dyDescent="0.25">
      <c r="A86" s="34"/>
      <c r="B86" s="15" t="s">
        <v>48</v>
      </c>
      <c r="C86" s="15"/>
      <c r="D86" s="45">
        <f>-D66</f>
        <v>79719.041496774182</v>
      </c>
      <c r="E86" s="15"/>
      <c r="F86" s="15"/>
      <c r="G86" s="15"/>
      <c r="H86" s="1"/>
      <c r="I86" s="1"/>
    </row>
    <row r="87" spans="1:9" x14ac:dyDescent="0.25">
      <c r="A87" s="34"/>
      <c r="B87" s="15" t="s">
        <v>49</v>
      </c>
      <c r="C87" s="15"/>
      <c r="D87" s="46">
        <f>E35</f>
        <v>305483.18</v>
      </c>
      <c r="E87" s="15"/>
      <c r="F87" s="15"/>
      <c r="G87" s="15"/>
      <c r="H87" s="1"/>
      <c r="I87" s="1"/>
    </row>
    <row r="88" spans="1:9" x14ac:dyDescent="0.25">
      <c r="A88" s="34"/>
      <c r="B88" s="15" t="s">
        <v>39</v>
      </c>
      <c r="C88" s="15"/>
      <c r="D88" s="47"/>
      <c r="E88" s="45">
        <f>SUM(D86:D87)</f>
        <v>385202.22149677417</v>
      </c>
      <c r="F88" s="15"/>
      <c r="G88" s="15"/>
      <c r="H88" s="1"/>
      <c r="I88" s="1"/>
    </row>
    <row r="89" spans="1:9" x14ac:dyDescent="0.25">
      <c r="A89" s="34"/>
      <c r="B89" s="15"/>
      <c r="C89" s="15"/>
      <c r="D89" s="15"/>
      <c r="E89" s="15"/>
      <c r="F89" s="15"/>
      <c r="G89" s="15"/>
      <c r="H89" s="1"/>
      <c r="I89" s="1"/>
    </row>
    <row r="90" spans="1:9" x14ac:dyDescent="0.25">
      <c r="A90" s="34"/>
      <c r="B90" s="15" t="s">
        <v>50</v>
      </c>
      <c r="C90" s="15"/>
      <c r="D90" s="45">
        <f>E69</f>
        <v>19929.760374193545</v>
      </c>
      <c r="E90" s="15"/>
      <c r="F90" s="15"/>
      <c r="G90" s="15"/>
      <c r="H90" s="1"/>
      <c r="I90" s="1"/>
    </row>
    <row r="91" spans="1:9" x14ac:dyDescent="0.25">
      <c r="A91" s="34"/>
      <c r="B91" s="15" t="s">
        <v>88</v>
      </c>
      <c r="C91" s="15"/>
      <c r="D91" s="48">
        <f>MAX(E81,-E33)</f>
        <v>-38500</v>
      </c>
      <c r="E91" s="15"/>
      <c r="F91" s="15"/>
      <c r="G91" s="15"/>
      <c r="H91" s="1"/>
      <c r="I91" s="1"/>
    </row>
    <row r="92" spans="1:9" x14ac:dyDescent="0.25">
      <c r="A92" s="34"/>
      <c r="B92" s="15"/>
      <c r="C92" s="15"/>
      <c r="D92" s="49"/>
      <c r="E92" s="45">
        <f>SUM(D90:D91)</f>
        <v>-18570.239625806455</v>
      </c>
      <c r="F92" s="15"/>
      <c r="G92" s="15"/>
      <c r="H92" s="1"/>
      <c r="I92" s="1"/>
    </row>
    <row r="93" spans="1:9" x14ac:dyDescent="0.25">
      <c r="A93" s="34"/>
      <c r="B93" s="15"/>
      <c r="C93" s="15"/>
      <c r="D93" s="15"/>
      <c r="E93" s="76"/>
      <c r="F93" s="15"/>
      <c r="G93" s="15"/>
      <c r="H93" s="1"/>
      <c r="I93" s="1"/>
    </row>
    <row r="94" spans="1:9" x14ac:dyDescent="0.25">
      <c r="A94" s="34"/>
      <c r="B94" s="44" t="s">
        <v>25</v>
      </c>
      <c r="C94" s="15"/>
      <c r="D94" s="15"/>
      <c r="E94" s="50">
        <f>MAX(SUM(E88:E93),0)</f>
        <v>366631.98187096772</v>
      </c>
      <c r="F94" s="15"/>
      <c r="G94" s="15"/>
      <c r="H94" s="1"/>
      <c r="I94" s="1"/>
    </row>
    <row r="95" spans="1:9" x14ac:dyDescent="0.25">
      <c r="A95" s="34"/>
      <c r="B95" s="15"/>
      <c r="C95" s="15"/>
      <c r="D95" s="15"/>
      <c r="E95" s="45"/>
      <c r="F95" s="15"/>
      <c r="G95" s="15"/>
      <c r="H95" s="1"/>
      <c r="I95" s="1"/>
    </row>
    <row r="96" spans="1:9" x14ac:dyDescent="0.25">
      <c r="A96" s="34"/>
      <c r="B96" s="15"/>
      <c r="C96" s="15"/>
      <c r="D96" s="15"/>
      <c r="E96" s="45"/>
      <c r="F96" s="15"/>
      <c r="G96" s="15"/>
      <c r="H96" s="1"/>
      <c r="I96" s="1"/>
    </row>
    <row r="97" spans="1:9" x14ac:dyDescent="0.25">
      <c r="A97" s="34"/>
      <c r="B97" s="116" t="s">
        <v>133</v>
      </c>
      <c r="C97" s="116"/>
      <c r="D97" s="116"/>
      <c r="E97" s="117"/>
      <c r="F97" s="15"/>
      <c r="G97" s="15"/>
      <c r="H97" s="1"/>
      <c r="I97" s="1"/>
    </row>
    <row r="98" spans="1:9" x14ac:dyDescent="0.25">
      <c r="A98" s="34"/>
      <c r="B98" s="116" t="s">
        <v>132</v>
      </c>
      <c r="C98" s="116"/>
      <c r="D98" s="118" t="s">
        <v>52</v>
      </c>
      <c r="E98" s="117">
        <f>E81</f>
        <v>-38500</v>
      </c>
      <c r="F98" s="15"/>
      <c r="G98" s="15"/>
      <c r="H98" s="1"/>
      <c r="I98" s="1"/>
    </row>
    <row r="99" spans="1:9" x14ac:dyDescent="0.25">
      <c r="A99" s="34"/>
      <c r="B99" s="116" t="s">
        <v>134</v>
      </c>
      <c r="C99" s="116"/>
      <c r="D99" s="116"/>
      <c r="E99" s="117">
        <f>E71</f>
        <v>99648.801870967727</v>
      </c>
      <c r="F99" s="15"/>
      <c r="G99" s="15"/>
      <c r="H99" s="1"/>
      <c r="I99" s="1"/>
    </row>
    <row r="100" spans="1:9" x14ac:dyDescent="0.25">
      <c r="A100" s="34"/>
      <c r="B100" s="116" t="s">
        <v>135</v>
      </c>
      <c r="C100" s="116"/>
      <c r="D100" s="116"/>
      <c r="E100" s="119">
        <v>70588</v>
      </c>
      <c r="F100" s="15"/>
      <c r="G100" s="15"/>
      <c r="H100" s="1"/>
      <c r="I100" s="1"/>
    </row>
    <row r="101" spans="1:9" x14ac:dyDescent="0.25">
      <c r="A101" s="34"/>
      <c r="B101" s="116" t="s">
        <v>130</v>
      </c>
      <c r="C101" s="116"/>
      <c r="D101" s="116"/>
      <c r="E101" s="117">
        <f>E99-E100</f>
        <v>29060.801870967727</v>
      </c>
      <c r="F101" s="15"/>
      <c r="G101" s="15"/>
      <c r="H101" s="1"/>
      <c r="I101" s="1"/>
    </row>
    <row r="102" spans="1:9" x14ac:dyDescent="0.25">
      <c r="A102" s="34"/>
      <c r="B102" s="116"/>
      <c r="C102" s="116"/>
      <c r="D102" s="116"/>
      <c r="E102" s="117"/>
      <c r="F102" s="15"/>
      <c r="G102" s="15"/>
      <c r="H102" s="1"/>
      <c r="I102" s="1"/>
    </row>
    <row r="103" spans="1:9" x14ac:dyDescent="0.25">
      <c r="A103" s="34"/>
      <c r="B103" s="15"/>
      <c r="C103" s="15"/>
      <c r="D103" s="15"/>
      <c r="E103" s="45"/>
      <c r="F103" s="15"/>
      <c r="G103" s="15"/>
      <c r="H103" s="1"/>
      <c r="I103" s="1"/>
    </row>
    <row r="104" spans="1:9" ht="14.25" thickBot="1" x14ac:dyDescent="0.3">
      <c r="A104" s="34"/>
      <c r="B104" s="66"/>
      <c r="C104" s="66"/>
      <c r="D104" s="66"/>
      <c r="E104" s="67"/>
      <c r="F104" s="66"/>
      <c r="G104" s="15"/>
      <c r="H104" s="1"/>
      <c r="I104" s="1"/>
    </row>
    <row r="105" spans="1:9" x14ac:dyDescent="0.25">
      <c r="A105" s="34"/>
      <c r="B105" s="15"/>
      <c r="C105" s="15"/>
      <c r="D105" s="15"/>
      <c r="E105" s="45"/>
      <c r="F105" s="15"/>
      <c r="G105" s="15"/>
      <c r="H105" s="1"/>
      <c r="I105" s="1"/>
    </row>
    <row r="106" spans="1:9" ht="27.75" customHeight="1" x14ac:dyDescent="0.25">
      <c r="A106" s="1"/>
      <c r="B106" s="121" t="s">
        <v>56</v>
      </c>
      <c r="C106" s="121"/>
      <c r="D106" s="121"/>
      <c r="E106" s="121"/>
      <c r="F106" s="40"/>
      <c r="G106" s="15"/>
      <c r="H106" s="1"/>
      <c r="I106" s="1"/>
    </row>
    <row r="107" spans="1:9" x14ac:dyDescent="0.25">
      <c r="A107" s="1"/>
      <c r="B107" s="121" t="s">
        <v>89</v>
      </c>
      <c r="C107" s="121"/>
      <c r="D107" s="121"/>
      <c r="E107" s="121"/>
      <c r="F107" s="68"/>
      <c r="G107" s="15"/>
      <c r="H107" s="1"/>
      <c r="I107" s="1"/>
    </row>
    <row r="108" spans="1:9" x14ac:dyDescent="0.25">
      <c r="A108" s="1"/>
      <c r="B108" s="109" t="s">
        <v>110</v>
      </c>
      <c r="C108" s="109"/>
      <c r="D108" s="109"/>
      <c r="E108" s="109"/>
      <c r="F108" s="68"/>
      <c r="G108" s="15"/>
      <c r="H108" s="1"/>
      <c r="I108" s="1"/>
    </row>
    <row r="109" spans="1:9" x14ac:dyDescent="0.25">
      <c r="A109" s="1"/>
      <c r="B109" s="121" t="s">
        <v>90</v>
      </c>
      <c r="C109" s="121"/>
      <c r="D109" s="121"/>
      <c r="E109" s="121"/>
      <c r="F109" s="121"/>
      <c r="G109" s="15"/>
      <c r="H109" s="1"/>
      <c r="I109" s="1"/>
    </row>
    <row r="110" spans="1:9" x14ac:dyDescent="0.25">
      <c r="A110" s="1"/>
      <c r="B110" s="109" t="s">
        <v>91</v>
      </c>
      <c r="C110" s="109"/>
      <c r="D110" s="109"/>
      <c r="E110" s="109"/>
      <c r="F110" s="109"/>
      <c r="G110" s="15"/>
      <c r="H110" s="1"/>
      <c r="I110" s="1"/>
    </row>
    <row r="111" spans="1:9" s="31" customFormat="1" ht="57" customHeight="1" x14ac:dyDescent="0.25">
      <c r="A111" s="30"/>
      <c r="B111" s="121" t="s">
        <v>109</v>
      </c>
      <c r="C111" s="121"/>
      <c r="D111" s="121"/>
      <c r="E111" s="121"/>
      <c r="F111" s="30"/>
      <c r="G111" s="30"/>
      <c r="H111" s="30"/>
      <c r="I111" s="30"/>
    </row>
    <row r="112" spans="1:9" s="1" customFormat="1" x14ac:dyDescent="0.25">
      <c r="B112" s="1" t="s">
        <v>108</v>
      </c>
      <c r="G112" s="15"/>
    </row>
    <row r="113" spans="2:2" s="1" customFormat="1" x14ac:dyDescent="0.25"/>
    <row r="114" spans="2:2" s="1" customFormat="1" x14ac:dyDescent="0.25"/>
    <row r="115" spans="2:2" s="1" customFormat="1" ht="15" x14ac:dyDescent="0.25">
      <c r="B115" s="56" t="s">
        <v>118</v>
      </c>
    </row>
    <row r="116" spans="2:2" s="1" customFormat="1" x14ac:dyDescent="0.25"/>
    <row r="117" spans="2:2" s="1" customFormat="1" ht="15" x14ac:dyDescent="0.25">
      <c r="B117" s="88" t="s">
        <v>93</v>
      </c>
    </row>
    <row r="118" spans="2:2" s="1" customFormat="1" hidden="1" x14ac:dyDescent="0.25"/>
    <row r="119" spans="2:2" s="1" customFormat="1" hidden="1" x14ac:dyDescent="0.25"/>
    <row r="120" spans="2:2" s="1" customFormat="1" hidden="1" x14ac:dyDescent="0.25"/>
    <row r="121" spans="2:2" s="1" customFormat="1" hidden="1" x14ac:dyDescent="0.25"/>
    <row r="122" spans="2:2" s="1" customFormat="1" hidden="1" x14ac:dyDescent="0.25"/>
    <row r="123" spans="2:2" s="1" customFormat="1" hidden="1" x14ac:dyDescent="0.25"/>
    <row r="124" spans="2:2" s="1" customFormat="1" hidden="1" x14ac:dyDescent="0.25"/>
    <row r="125" spans="2:2" s="1" customFormat="1" hidden="1" x14ac:dyDescent="0.25"/>
    <row r="126" spans="2:2" s="1" customFormat="1" hidden="1" x14ac:dyDescent="0.25"/>
    <row r="127" spans="2:2" s="1" customFormat="1" hidden="1" x14ac:dyDescent="0.25"/>
    <row r="128" spans="2:2" s="1" customFormat="1" hidden="1" x14ac:dyDescent="0.25"/>
    <row r="129" s="1" customFormat="1" hidden="1" x14ac:dyDescent="0.25"/>
    <row r="130" s="1" customFormat="1" hidden="1" x14ac:dyDescent="0.25"/>
    <row r="131" s="1" customFormat="1" hidden="1" x14ac:dyDescent="0.25"/>
    <row r="132" s="1" customFormat="1" hidden="1" x14ac:dyDescent="0.25"/>
    <row r="133" s="1" customFormat="1" hidden="1" x14ac:dyDescent="0.25"/>
    <row r="134" s="1" customFormat="1" hidden="1" x14ac:dyDescent="0.25"/>
    <row r="135" s="1" customFormat="1" hidden="1" x14ac:dyDescent="0.25"/>
    <row r="136" s="1" customFormat="1" hidden="1" x14ac:dyDescent="0.25"/>
    <row r="137" s="1" customFormat="1" hidden="1" x14ac:dyDescent="0.25"/>
    <row r="138" s="1" customFormat="1" hidden="1" x14ac:dyDescent="0.25"/>
    <row r="139" s="1" customFormat="1" hidden="1" x14ac:dyDescent="0.25"/>
    <row r="140" s="1" customFormat="1" hidden="1" x14ac:dyDescent="0.25"/>
    <row r="141" s="1" customFormat="1" hidden="1" x14ac:dyDescent="0.25"/>
    <row r="142" s="1" customFormat="1" hidden="1" x14ac:dyDescent="0.25"/>
    <row r="143" s="1" customFormat="1" hidden="1" x14ac:dyDescent="0.25"/>
    <row r="144" s="1" customFormat="1" hidden="1" x14ac:dyDescent="0.25"/>
    <row r="145" s="1" customFormat="1" hidden="1" x14ac:dyDescent="0.25"/>
    <row r="146" s="1" customFormat="1" hidden="1" x14ac:dyDescent="0.25"/>
    <row r="147" s="1" customFormat="1" hidden="1" x14ac:dyDescent="0.25"/>
    <row r="148" s="1" customFormat="1" hidden="1" x14ac:dyDescent="0.25"/>
    <row r="149" s="1" customFormat="1" hidden="1" x14ac:dyDescent="0.25"/>
    <row r="150" s="1" customFormat="1" hidden="1" x14ac:dyDescent="0.25"/>
    <row r="151" s="1" customFormat="1" hidden="1" x14ac:dyDescent="0.25"/>
    <row r="152" s="1" customFormat="1" hidden="1" x14ac:dyDescent="0.25"/>
    <row r="153" s="1" customFormat="1" hidden="1" x14ac:dyDescent="0.25"/>
    <row r="154" s="1" customFormat="1" hidden="1" x14ac:dyDescent="0.25"/>
    <row r="155" s="1" customFormat="1" hidden="1" x14ac:dyDescent="0.25"/>
    <row r="156" s="1" customFormat="1" hidden="1" x14ac:dyDescent="0.25"/>
    <row r="157" s="1" customFormat="1" hidden="1" x14ac:dyDescent="0.25"/>
    <row r="158" s="1" customFormat="1" hidden="1" x14ac:dyDescent="0.25"/>
    <row r="159" s="1" customFormat="1" hidden="1" x14ac:dyDescent="0.25"/>
    <row r="160" s="1" customFormat="1" hidden="1" x14ac:dyDescent="0.25"/>
    <row r="161" s="1" customFormat="1" hidden="1" x14ac:dyDescent="0.25"/>
    <row r="162" s="1" customFormat="1" hidden="1" x14ac:dyDescent="0.25"/>
    <row r="163" s="1" customFormat="1" hidden="1" x14ac:dyDescent="0.25"/>
    <row r="164" s="1" customFormat="1" hidden="1" x14ac:dyDescent="0.25"/>
    <row r="165" s="1" customFormat="1" hidden="1" x14ac:dyDescent="0.25"/>
    <row r="166" s="1" customFormat="1" hidden="1" x14ac:dyDescent="0.25"/>
    <row r="167" s="1" customFormat="1" hidden="1" x14ac:dyDescent="0.25"/>
    <row r="168" s="1" customFormat="1" hidden="1" x14ac:dyDescent="0.25"/>
    <row r="169" s="1" customFormat="1" hidden="1" x14ac:dyDescent="0.25"/>
    <row r="170" s="1" customFormat="1" hidden="1" x14ac:dyDescent="0.25"/>
    <row r="171" s="1" customFormat="1" hidden="1" x14ac:dyDescent="0.25"/>
    <row r="172" s="1" customFormat="1" hidden="1" x14ac:dyDescent="0.25"/>
    <row r="173" s="1" customFormat="1" hidden="1" x14ac:dyDescent="0.25"/>
    <row r="174" s="1" customFormat="1" hidden="1" x14ac:dyDescent="0.25"/>
    <row r="175" s="1" customFormat="1" hidden="1" x14ac:dyDescent="0.25"/>
    <row r="176" s="1" customFormat="1" hidden="1" x14ac:dyDescent="0.25"/>
    <row r="177" s="1" customFormat="1" hidden="1" x14ac:dyDescent="0.25"/>
    <row r="178" s="1" customFormat="1" hidden="1" x14ac:dyDescent="0.25"/>
    <row r="179" s="1" customFormat="1" hidden="1" x14ac:dyDescent="0.25"/>
    <row r="180" s="1" customFormat="1" hidden="1" x14ac:dyDescent="0.25"/>
    <row r="181" s="1" customFormat="1" hidden="1" x14ac:dyDescent="0.25"/>
    <row r="182" s="1" customFormat="1" hidden="1" x14ac:dyDescent="0.25"/>
    <row r="183" s="1" customFormat="1" hidden="1" x14ac:dyDescent="0.25"/>
    <row r="184" s="1" customFormat="1" hidden="1" x14ac:dyDescent="0.25"/>
    <row r="185" s="1" customFormat="1" hidden="1" x14ac:dyDescent="0.25"/>
    <row r="186" s="1" customFormat="1" hidden="1" x14ac:dyDescent="0.25"/>
    <row r="187" s="1" customFormat="1" hidden="1" x14ac:dyDescent="0.25"/>
    <row r="188" s="1" customFormat="1" hidden="1" x14ac:dyDescent="0.25"/>
    <row r="189" s="1" customFormat="1" hidden="1" x14ac:dyDescent="0.25"/>
    <row r="190" s="1" customFormat="1" hidden="1" x14ac:dyDescent="0.25"/>
    <row r="191" s="1" customFormat="1" hidden="1" x14ac:dyDescent="0.25"/>
    <row r="192" s="1" customFormat="1" hidden="1" x14ac:dyDescent="0.25"/>
    <row r="193" s="1" customFormat="1" hidden="1" x14ac:dyDescent="0.25"/>
    <row r="194" s="1" customFormat="1" hidden="1" x14ac:dyDescent="0.25"/>
    <row r="195" s="1" customFormat="1" hidden="1" x14ac:dyDescent="0.25"/>
    <row r="196" s="1" customFormat="1" hidden="1" x14ac:dyDescent="0.25"/>
    <row r="197" s="1" customFormat="1" hidden="1" x14ac:dyDescent="0.25"/>
    <row r="198" s="1" customFormat="1" hidden="1" x14ac:dyDescent="0.25"/>
    <row r="199" s="1" customFormat="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t="13.5" customHeight="1" x14ac:dyDescent="0.25"/>
  </sheetData>
  <sheetProtection selectLockedCells="1"/>
  <mergeCells count="5">
    <mergeCell ref="B7:D7"/>
    <mergeCell ref="B106:E106"/>
    <mergeCell ref="B107:E107"/>
    <mergeCell ref="B109:F109"/>
    <mergeCell ref="B111:E111"/>
  </mergeCells>
  <conditionalFormatting sqref="D41:D43">
    <cfRule type="colorScale" priority="2">
      <colorScale>
        <cfvo type="min"/>
        <cfvo type="percentile" val="50"/>
        <cfvo type="max"/>
        <color rgb="FF63BE7B"/>
        <color rgb="FFFFEB84"/>
        <color rgb="FFF8696B"/>
      </colorScale>
    </cfRule>
  </conditionalFormatting>
  <conditionalFormatting sqref="E69">
    <cfRule type="cellIs" dxfId="1" priority="1" operator="lessThan">
      <formula>0</formula>
    </cfRule>
  </conditionalFormatting>
  <dataValidations count="1">
    <dataValidation type="list" allowBlank="1" showInputMessage="1" showErrorMessage="1" sqref="D15" xr:uid="{DD64583F-DDB8-4E89-AE15-12DE91AADC22}">
      <formula1>$G$3:$G$4</formula1>
    </dataValidation>
  </dataValidations>
  <hyperlinks>
    <hyperlink ref="B5" r:id="rId1" xr:uid="{EC28A30E-5337-48B8-872C-93BFD5469672}"/>
    <hyperlink ref="B117" r:id="rId2" location="blogs" xr:uid="{42AE3C66-D520-43B1-A11B-728FA77AAE46}"/>
  </hyperlinks>
  <pageMargins left="0.31496062992125984" right="0.24" top="0.74803149606299213" bottom="0.74803149606299213" header="0.31496062992125984" footer="0.31496062992125984"/>
  <pageSetup paperSize="9" scale="50" orientation="portrait" r:id="rId3"/>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r:uid="{C1D5B1B9-C6AB-48A9-B62C-0CB629BCE502}">
          <x14:formula1>
            <xm:f>Blad1!$A$1:$A$3</xm:f>
          </x14:formula1>
          <xm:sqref>D98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17AD7-FDB3-4EA7-8036-28607DE7C91A}">
  <sheetPr>
    <tabColor rgb="FF897865"/>
  </sheetPr>
  <dimension ref="A2:A3"/>
  <sheetViews>
    <sheetView workbookViewId="0">
      <selection activeCell="A4" sqref="A4"/>
    </sheetView>
  </sheetViews>
  <sheetFormatPr defaultRowHeight="15" x14ac:dyDescent="0.25"/>
  <sheetData>
    <row r="2" spans="1:1" x14ac:dyDescent="0.25">
      <c r="A2" t="s">
        <v>52</v>
      </c>
    </row>
    <row r="3" spans="1:1" x14ac:dyDescent="0.25">
      <c r="A3" t="s">
        <v>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BE08C-4CC5-44CE-B181-7F874F0B7641}">
  <sheetPr>
    <tabColor rgb="FF897865"/>
    <pageSetUpPr fitToPage="1"/>
  </sheetPr>
  <dimension ref="A1:P203"/>
  <sheetViews>
    <sheetView topLeftCell="A69" zoomScaleNormal="100" workbookViewId="0">
      <selection activeCell="A83" sqref="A83:XFD83"/>
    </sheetView>
  </sheetViews>
  <sheetFormatPr defaultColWidth="0" defaultRowHeight="13.5" zeroHeight="1" x14ac:dyDescent="0.25"/>
  <cols>
    <col min="1" max="1" width="9.140625" style="2" customWidth="1"/>
    <col min="2" max="2" width="67.85546875" style="2" customWidth="1"/>
    <col min="3" max="5" width="24.140625" style="2" customWidth="1"/>
    <col min="6" max="6" width="5.28515625" style="2" customWidth="1"/>
    <col min="7" max="7" width="6.85546875" style="2" customWidth="1"/>
    <col min="8" max="16" width="0" style="2" hidden="1" customWidth="1"/>
    <col min="17" max="16384" width="38.28515625" style="2" hidden="1"/>
  </cols>
  <sheetData>
    <row r="1" spans="1:9" s="1" customFormat="1" x14ac:dyDescent="0.25">
      <c r="B1" s="89" t="s">
        <v>94</v>
      </c>
    </row>
    <row r="2" spans="1:9" s="1" customFormat="1" x14ac:dyDescent="0.25">
      <c r="B2" s="70" t="s">
        <v>82</v>
      </c>
    </row>
    <row r="3" spans="1:9" s="1" customFormat="1" x14ac:dyDescent="0.25">
      <c r="B3" s="74" t="s">
        <v>119</v>
      </c>
      <c r="G3" s="55" t="s">
        <v>52</v>
      </c>
    </row>
    <row r="4" spans="1:9" s="1" customFormat="1" ht="15" x14ac:dyDescent="0.25">
      <c r="C4" s="72"/>
      <c r="G4" s="55" t="s">
        <v>53</v>
      </c>
    </row>
    <row r="5" spans="1:9" s="1" customFormat="1" ht="41.85" customHeight="1" x14ac:dyDescent="0.25">
      <c r="B5" s="73" t="s">
        <v>81</v>
      </c>
    </row>
    <row r="6" spans="1:9" x14ac:dyDescent="0.25">
      <c r="A6" s="1"/>
      <c r="B6" s="1"/>
      <c r="C6" s="1"/>
      <c r="D6" s="1"/>
      <c r="E6" s="1"/>
      <c r="F6" s="1"/>
      <c r="G6" s="1"/>
      <c r="H6" s="1"/>
      <c r="I6" s="1"/>
    </row>
    <row r="7" spans="1:9" x14ac:dyDescent="0.25">
      <c r="A7" s="1"/>
      <c r="B7" s="120" t="s">
        <v>37</v>
      </c>
      <c r="C7" s="120"/>
      <c r="D7" s="120"/>
      <c r="E7" s="3"/>
      <c r="F7" s="38"/>
      <c r="G7" s="4"/>
      <c r="H7" s="1"/>
      <c r="I7" s="1"/>
    </row>
    <row r="8" spans="1:9" x14ac:dyDescent="0.25">
      <c r="A8" s="4" t="s">
        <v>32</v>
      </c>
      <c r="B8" s="5" t="s">
        <v>6</v>
      </c>
      <c r="C8" s="6"/>
      <c r="D8" s="6"/>
      <c r="E8" s="6"/>
      <c r="F8" s="6"/>
      <c r="G8" s="1"/>
      <c r="H8" s="1"/>
      <c r="I8" s="1"/>
    </row>
    <row r="9" spans="1:9" s="1" customFormat="1" x14ac:dyDescent="0.25">
      <c r="B9" s="1" t="s">
        <v>8</v>
      </c>
      <c r="E9" s="95">
        <f>'spec omzet 2019'!C20</f>
        <v>135000</v>
      </c>
      <c r="F9" s="39">
        <f>IFERROR(E9/E11,"")</f>
        <v>0.87096774193548387</v>
      </c>
    </row>
    <row r="10" spans="1:9" s="1" customFormat="1" x14ac:dyDescent="0.25">
      <c r="B10" s="1" t="s">
        <v>9</v>
      </c>
      <c r="E10" s="96">
        <f>'spec omzet 2019'!D20</f>
        <v>20000</v>
      </c>
      <c r="F10" s="39">
        <f>IFERROR(E10/$E$11,"")</f>
        <v>0.12903225806451613</v>
      </c>
    </row>
    <row r="11" spans="1:9" x14ac:dyDescent="0.25">
      <c r="A11" s="1"/>
      <c r="B11" s="8" t="s">
        <v>83</v>
      </c>
      <c r="C11" s="8"/>
      <c r="D11" s="64"/>
      <c r="E11" s="11">
        <f>SUM(E9:E10)</f>
        <v>155000</v>
      </c>
      <c r="F11" s="39">
        <f>IFERROR(E11/$E$11,"")</f>
        <v>1</v>
      </c>
      <c r="G11" s="1"/>
      <c r="H11" s="1"/>
      <c r="I11" s="1"/>
    </row>
    <row r="12" spans="1:9" s="1" customFormat="1" x14ac:dyDescent="0.25">
      <c r="B12" s="1" t="s">
        <v>73</v>
      </c>
      <c r="D12" s="65">
        <f>'Rekentool CB+NOW'!D12</f>
        <v>3.6999999999999998E-2</v>
      </c>
      <c r="F12" s="39"/>
    </row>
    <row r="13" spans="1:9" s="1" customFormat="1" x14ac:dyDescent="0.25">
      <c r="B13" s="1" t="s">
        <v>74</v>
      </c>
      <c r="E13" s="95">
        <f>E9*(1+D12)</f>
        <v>139995</v>
      </c>
    </row>
    <row r="14" spans="1:9" x14ac:dyDescent="0.25">
      <c r="A14" s="1"/>
      <c r="B14" s="8" t="s">
        <v>0</v>
      </c>
      <c r="C14" s="8"/>
      <c r="D14" s="83">
        <f>'Rekentool CB+NOW'!D14</f>
        <v>100000</v>
      </c>
      <c r="E14" s="98">
        <f>IF(D15="NEE",D14*1,D14*0.926)</f>
        <v>100000</v>
      </c>
      <c r="F14" s="39">
        <f>IFERROR(E14/E11,"")</f>
        <v>0.64516129032258063</v>
      </c>
      <c r="G14" s="10"/>
      <c r="H14" s="1"/>
      <c r="I14" s="1"/>
    </row>
    <row r="15" spans="1:9" s="1" customFormat="1" x14ac:dyDescent="0.25">
      <c r="B15" s="1" t="s">
        <v>54</v>
      </c>
      <c r="D15" s="84" t="s">
        <v>53</v>
      </c>
    </row>
    <row r="16" spans="1:9" s="1" customFormat="1" x14ac:dyDescent="0.25"/>
    <row r="17" spans="1:6" s="1" customFormat="1" x14ac:dyDescent="0.25">
      <c r="A17" s="4" t="s">
        <v>33</v>
      </c>
      <c r="B17" s="5" t="s">
        <v>85</v>
      </c>
      <c r="C17" s="5"/>
      <c r="D17" s="5"/>
      <c r="E17" s="5"/>
      <c r="F17" s="6"/>
    </row>
    <row r="18" spans="1:6" s="37" customFormat="1" ht="27" x14ac:dyDescent="0.25">
      <c r="A18" s="35"/>
      <c r="B18" s="36"/>
      <c r="C18" s="59" t="s">
        <v>43</v>
      </c>
      <c r="D18" s="59" t="s">
        <v>42</v>
      </c>
      <c r="E18" s="41" t="s">
        <v>39</v>
      </c>
    </row>
    <row r="19" spans="1:6" s="1" customFormat="1" x14ac:dyDescent="0.25">
      <c r="B19" s="1" t="s">
        <v>1</v>
      </c>
      <c r="C19" s="98">
        <f>'spec omzet 2020 mrt tm jul'!C16</f>
        <v>62155</v>
      </c>
      <c r="D19" s="98">
        <f>'spec omzet 2020 mrt tm jul'!D16</f>
        <v>15538.75</v>
      </c>
      <c r="E19" s="7">
        <f>SUM(C19:D19)</f>
        <v>77693.75</v>
      </c>
    </row>
    <row r="20" spans="1:6" s="1" customFormat="1" x14ac:dyDescent="0.25">
      <c r="B20" s="1" t="s">
        <v>2</v>
      </c>
      <c r="C20" s="98">
        <f>'spec omzet 2020 mrt tm jul'!C34</f>
        <v>31855</v>
      </c>
      <c r="D20" s="98">
        <f>'spec omzet 2020 mrt tm jul'!D34</f>
        <v>27963.75</v>
      </c>
      <c r="E20" s="7">
        <f>SUM(C20:D20)</f>
        <v>59818.75</v>
      </c>
    </row>
    <row r="21" spans="1:6" s="1" customFormat="1" x14ac:dyDescent="0.25">
      <c r="B21" s="1" t="s">
        <v>3</v>
      </c>
      <c r="C21" s="98">
        <f>'spec omzet 2020 mrt tm jul'!C52</f>
        <v>60757</v>
      </c>
      <c r="D21" s="98">
        <f>'spec omzet 2020 mrt tm jul'!D52</f>
        <v>15189.25</v>
      </c>
      <c r="E21" s="7">
        <f t="shared" ref="E21:E23" si="0">SUM(C21:D21)</f>
        <v>75946.25</v>
      </c>
    </row>
    <row r="22" spans="1:6" s="1" customFormat="1" x14ac:dyDescent="0.25">
      <c r="B22" s="1" t="s">
        <v>4</v>
      </c>
      <c r="C22" s="98">
        <f>'spec omzet 2020 mrt tm jul'!C70</f>
        <v>50000</v>
      </c>
      <c r="D22" s="98">
        <f>'spec omzet 2020 mrt tm jul'!D70</f>
        <v>12500</v>
      </c>
      <c r="E22" s="7">
        <f t="shared" si="0"/>
        <v>62500</v>
      </c>
    </row>
    <row r="23" spans="1:6" s="1" customFormat="1" x14ac:dyDescent="0.25">
      <c r="B23" s="1" t="s">
        <v>62</v>
      </c>
      <c r="C23" s="98">
        <f>'spec omzet 2020 mrt tm jul'!C88</f>
        <v>70000</v>
      </c>
      <c r="D23" s="98">
        <f>'spec omzet 2020 mrt tm jul'!D88</f>
        <v>17500</v>
      </c>
      <c r="E23" s="7">
        <f t="shared" si="0"/>
        <v>87500</v>
      </c>
    </row>
    <row r="24" spans="1:6" s="1" customFormat="1" x14ac:dyDescent="0.25">
      <c r="C24" s="99"/>
      <c r="D24" s="99"/>
      <c r="E24" s="7"/>
    </row>
    <row r="25" spans="1:6" s="1" customFormat="1" x14ac:dyDescent="0.25">
      <c r="A25" s="4" t="s">
        <v>34</v>
      </c>
      <c r="B25" s="5" t="s">
        <v>18</v>
      </c>
      <c r="C25" s="6"/>
      <c r="D25" s="6"/>
      <c r="E25" s="6"/>
      <c r="F25" s="6"/>
    </row>
    <row r="26" spans="1:6" s="1" customFormat="1" x14ac:dyDescent="0.25">
      <c r="B26" s="4" t="s">
        <v>7</v>
      </c>
      <c r="E26" s="62">
        <v>0</v>
      </c>
    </row>
    <row r="27" spans="1:6" s="1" customFormat="1" hidden="1" x14ac:dyDescent="0.25"/>
    <row r="28" spans="1:6" s="1" customFormat="1" x14ac:dyDescent="0.25">
      <c r="B28" s="1" t="s">
        <v>1</v>
      </c>
      <c r="E28" s="9">
        <f>MAX($E$26*($E$13-C19),0)</f>
        <v>0</v>
      </c>
    </row>
    <row r="29" spans="1:6" s="1" customFormat="1" x14ac:dyDescent="0.25">
      <c r="B29" s="1" t="s">
        <v>2</v>
      </c>
      <c r="E29" s="9">
        <f>MAX($E$26*($E$13-C20),0)</f>
        <v>0</v>
      </c>
    </row>
    <row r="30" spans="1:6" s="1" customFormat="1" x14ac:dyDescent="0.25">
      <c r="B30" s="1" t="s">
        <v>3</v>
      </c>
      <c r="E30" s="9">
        <f>MAX($E$26*($E$13-C21),0)</f>
        <v>0</v>
      </c>
    </row>
    <row r="31" spans="1:6" s="1" customFormat="1" x14ac:dyDescent="0.25">
      <c r="B31" s="1" t="s">
        <v>4</v>
      </c>
      <c r="E31" s="110">
        <f>MAX($E$26*($E$13-C22),0)</f>
        <v>0</v>
      </c>
    </row>
    <row r="32" spans="1:6" s="1" customFormat="1" x14ac:dyDescent="0.25">
      <c r="E32" s="57">
        <v>0</v>
      </c>
    </row>
    <row r="33" spans="1:6" s="1" customFormat="1" x14ac:dyDescent="0.25">
      <c r="B33" s="1" t="s">
        <v>39</v>
      </c>
      <c r="C33" s="33"/>
      <c r="D33" s="33"/>
      <c r="E33" s="9">
        <f>SUM(E28:E32)</f>
        <v>0</v>
      </c>
    </row>
    <row r="34" spans="1:6" s="1" customFormat="1" x14ac:dyDescent="0.25">
      <c r="B34" s="1" t="s">
        <v>45</v>
      </c>
      <c r="C34" s="33"/>
      <c r="D34" s="33"/>
      <c r="E34" s="86">
        <f>'Rekentool CB+NOW'!E34</f>
        <v>0</v>
      </c>
    </row>
    <row r="35" spans="1:6" s="1" customFormat="1" x14ac:dyDescent="0.25">
      <c r="B35" s="1" t="s">
        <v>40</v>
      </c>
      <c r="C35" s="33"/>
      <c r="D35" s="33"/>
      <c r="E35" s="9">
        <f>SUM(E33:E34)</f>
        <v>0</v>
      </c>
    </row>
    <row r="36" spans="1:6" s="1" customFormat="1" hidden="1" x14ac:dyDescent="0.25">
      <c r="B36" s="1" t="s">
        <v>44</v>
      </c>
      <c r="C36" s="33"/>
      <c r="D36" s="33"/>
      <c r="E36" s="61" t="s">
        <v>41</v>
      </c>
    </row>
    <row r="37" spans="1:6" s="1" customFormat="1" hidden="1" x14ac:dyDescent="0.25">
      <c r="B37" s="33"/>
      <c r="C37" s="33"/>
      <c r="D37" s="33"/>
      <c r="E37" s="9">
        <f>SUM(E35:E36)</f>
        <v>0</v>
      </c>
    </row>
    <row r="38" spans="1:6" s="1" customFormat="1" x14ac:dyDescent="0.25">
      <c r="B38" s="33"/>
      <c r="C38" s="33"/>
      <c r="D38" s="33"/>
      <c r="E38" s="9"/>
    </row>
    <row r="39" spans="1:6" s="1" customFormat="1" x14ac:dyDescent="0.25">
      <c r="A39" s="4" t="s">
        <v>35</v>
      </c>
      <c r="B39" s="5" t="s">
        <v>106</v>
      </c>
      <c r="C39" s="5"/>
      <c r="D39" s="5"/>
      <c r="E39" s="5"/>
      <c r="F39" s="6"/>
    </row>
    <row r="40" spans="1:6" s="1" customFormat="1" x14ac:dyDescent="0.25">
      <c r="B40" s="4" t="s">
        <v>10</v>
      </c>
    </row>
    <row r="41" spans="1:6" s="1" customFormat="1" x14ac:dyDescent="0.25">
      <c r="B41" s="1" t="s">
        <v>11</v>
      </c>
      <c r="D41" s="58">
        <f>IFERROR(-(1-SUM(E19:E21,E28:E30)/(3*$E$11)),"")</f>
        <v>-0.54094892473118272</v>
      </c>
    </row>
    <row r="42" spans="1:6" s="1" customFormat="1" x14ac:dyDescent="0.25">
      <c r="B42" s="1" t="s">
        <v>12</v>
      </c>
      <c r="D42" s="58">
        <f>IFERROR(-(1-SUM(E20:E22,E29:E31)/(3*$E$11)),"")</f>
        <v>-0.57362365591397846</v>
      </c>
    </row>
    <row r="43" spans="1:6" s="1" customFormat="1" x14ac:dyDescent="0.25">
      <c r="B43" s="1" t="s">
        <v>13</v>
      </c>
      <c r="D43" s="58">
        <f>IFERROR(-(1-SUM(E21:E23,E30:E31)/(3*$E$11)),"")</f>
        <v>-0.5140940860215053</v>
      </c>
    </row>
    <row r="44" spans="1:6" s="1" customFormat="1" x14ac:dyDescent="0.25">
      <c r="B44" s="1" t="s">
        <v>14</v>
      </c>
      <c r="E44" s="13">
        <f>IF(-MIN(D41:D43)&lt;19.9%,0,-MIN(D41:D43))</f>
        <v>0.57362365591397846</v>
      </c>
    </row>
    <row r="45" spans="1:6" s="1" customFormat="1" x14ac:dyDescent="0.25">
      <c r="E45" s="13"/>
    </row>
    <row r="46" spans="1:6" s="1" customFormat="1" x14ac:dyDescent="0.25">
      <c r="B46" s="4" t="s">
        <v>26</v>
      </c>
    </row>
    <row r="47" spans="1:6" s="1" customFormat="1" x14ac:dyDescent="0.25">
      <c r="B47" s="1" t="s">
        <v>15</v>
      </c>
      <c r="E47" s="9">
        <f>E44*E14*3*1.3*90%</f>
        <v>201341.90322580643</v>
      </c>
    </row>
    <row r="48" spans="1:6" s="33" customFormat="1" x14ac:dyDescent="0.25">
      <c r="B48" s="1" t="s">
        <v>16</v>
      </c>
      <c r="E48" s="9">
        <f>E47*0.8</f>
        <v>161073.52258064516</v>
      </c>
    </row>
    <row r="49" spans="1:7" s="1" customFormat="1" ht="14.25" thickBot="1" x14ac:dyDescent="0.3">
      <c r="B49" s="1" t="s">
        <v>17</v>
      </c>
      <c r="E49" s="32">
        <f>E48/3</f>
        <v>53691.174193548388</v>
      </c>
    </row>
    <row r="50" spans="1:7" s="1" customFormat="1" x14ac:dyDescent="0.25">
      <c r="B50" s="15"/>
      <c r="C50" s="15"/>
      <c r="D50" s="15"/>
      <c r="E50" s="15"/>
      <c r="F50" s="15"/>
      <c r="G50" s="15"/>
    </row>
    <row r="51" spans="1:7" s="1" customFormat="1" x14ac:dyDescent="0.25">
      <c r="A51" s="4" t="s">
        <v>36</v>
      </c>
      <c r="B51" s="5" t="s">
        <v>107</v>
      </c>
      <c r="C51" s="5"/>
      <c r="D51" s="5"/>
      <c r="E51" s="5"/>
      <c r="F51" s="6"/>
      <c r="G51" s="15"/>
    </row>
    <row r="52" spans="1:7" s="1" customFormat="1" x14ac:dyDescent="0.25">
      <c r="B52" s="4" t="s">
        <v>31</v>
      </c>
      <c r="C52" s="28"/>
      <c r="D52" s="28"/>
      <c r="E52" s="28"/>
      <c r="F52" s="15"/>
      <c r="G52" s="15"/>
    </row>
    <row r="53" spans="1:7" s="1" customFormat="1" x14ac:dyDescent="0.25">
      <c r="B53" s="1" t="s">
        <v>55</v>
      </c>
      <c r="C53" s="112">
        <f>-D42</f>
        <v>0.57362365591397846</v>
      </c>
      <c r="D53" s="12">
        <f>IF(OR(C53&gt;0,C53&lt;0),C53,E44)</f>
        <v>0.57362365591397846</v>
      </c>
      <c r="E53" s="28"/>
      <c r="F53" s="15"/>
      <c r="G53" s="15"/>
    </row>
    <row r="54" spans="1:7" s="1" customFormat="1" x14ac:dyDescent="0.25">
      <c r="C54" s="28"/>
      <c r="D54" s="12"/>
      <c r="E54" s="28"/>
      <c r="F54" s="15"/>
      <c r="G54" s="15"/>
    </row>
    <row r="55" spans="1:7" s="1" customFormat="1" x14ac:dyDescent="0.25">
      <c r="B55" s="4" t="s">
        <v>84</v>
      </c>
      <c r="C55" s="28"/>
      <c r="D55" s="28"/>
      <c r="E55" s="28"/>
      <c r="F55" s="15"/>
      <c r="G55" s="15"/>
    </row>
    <row r="56" spans="1:7" s="1" customFormat="1" x14ac:dyDescent="0.25">
      <c r="B56" s="1" t="s">
        <v>27</v>
      </c>
      <c r="D56" s="105">
        <f>'Rekentool CB+NOW'!D56</f>
        <v>100000</v>
      </c>
      <c r="E56" s="28"/>
      <c r="F56" s="15"/>
      <c r="G56" s="15"/>
    </row>
    <row r="57" spans="1:7" s="1" customFormat="1" x14ac:dyDescent="0.25">
      <c r="B57" s="1" t="s">
        <v>28</v>
      </c>
      <c r="D57" s="105">
        <f>'Rekentool CB+NOW'!D57</f>
        <v>100000</v>
      </c>
      <c r="E57" s="28"/>
      <c r="F57" s="15"/>
      <c r="G57" s="15"/>
    </row>
    <row r="58" spans="1:7" s="1" customFormat="1" x14ac:dyDescent="0.25">
      <c r="B58" s="1" t="s">
        <v>51</v>
      </c>
      <c r="D58" s="105">
        <f>'Rekentool CB+NOW'!D58</f>
        <v>100000</v>
      </c>
      <c r="E58" s="28"/>
      <c r="F58" s="15"/>
      <c r="G58" s="15"/>
    </row>
    <row r="59" spans="1:7" s="1" customFormat="1" x14ac:dyDescent="0.25">
      <c r="B59" s="1" t="s">
        <v>29</v>
      </c>
      <c r="D59" s="7">
        <f>SUM(D56:D58)</f>
        <v>300000</v>
      </c>
      <c r="F59" s="15"/>
      <c r="G59" s="15"/>
    </row>
    <row r="60" spans="1:7" s="1" customFormat="1" x14ac:dyDescent="0.25">
      <c r="B60" s="1" t="s">
        <v>30</v>
      </c>
      <c r="C60" s="28"/>
      <c r="D60" s="29">
        <f>IFERROR(100%-D59/(E14*3),"")</f>
        <v>0</v>
      </c>
      <c r="F60" s="15"/>
      <c r="G60" s="15"/>
    </row>
    <row r="61" spans="1:7" s="1" customFormat="1" x14ac:dyDescent="0.25">
      <c r="C61" s="28"/>
      <c r="D61" s="29"/>
      <c r="F61" s="15"/>
      <c r="G61" s="15"/>
    </row>
    <row r="62" spans="1:7" s="1" customFormat="1" x14ac:dyDescent="0.25">
      <c r="B62" s="106" t="s">
        <v>104</v>
      </c>
      <c r="C62" s="28"/>
      <c r="D62" s="107">
        <f>'Rekentool CB+NOW'!D62</f>
        <v>0</v>
      </c>
      <c r="F62" s="15"/>
      <c r="G62" s="15"/>
    </row>
    <row r="63" spans="1:7" s="1" customFormat="1" x14ac:dyDescent="0.25">
      <c r="B63" s="4"/>
      <c r="C63" s="28"/>
      <c r="D63" s="28"/>
      <c r="E63" s="52"/>
      <c r="F63" s="15"/>
      <c r="G63" s="15"/>
    </row>
    <row r="64" spans="1:7" s="1" customFormat="1" x14ac:dyDescent="0.25">
      <c r="B64" s="22" t="s">
        <v>19</v>
      </c>
      <c r="C64" s="28"/>
      <c r="D64" s="28"/>
      <c r="E64" s="53"/>
      <c r="F64" s="15"/>
      <c r="G64" s="15"/>
    </row>
    <row r="65" spans="1:16" s="1" customFormat="1" x14ac:dyDescent="0.25">
      <c r="B65" s="1" t="s">
        <v>105</v>
      </c>
      <c r="C65" s="17"/>
      <c r="D65" s="18">
        <f>IF(AND(D59&gt;3*D62,D56*3&gt;D62*3),SUM(D56,MIN(D56,D57),MIN(D56,D58))*1.3*D53*0.9,D62*3*1.3*0.9*D53)</f>
        <v>201341.90322580645</v>
      </c>
      <c r="E65" s="51"/>
      <c r="F65" s="15"/>
      <c r="G65" s="15"/>
    </row>
    <row r="66" spans="1:16" s="1" customFormat="1" x14ac:dyDescent="0.25">
      <c r="B66" s="16" t="s">
        <v>20</v>
      </c>
      <c r="C66" s="17"/>
      <c r="D66" s="18">
        <f>-E48</f>
        <v>-161073.52258064516</v>
      </c>
      <c r="E66" s="54" t="s">
        <v>21</v>
      </c>
      <c r="F66" s="15"/>
      <c r="G66" s="15"/>
    </row>
    <row r="67" spans="1:16" x14ac:dyDescent="0.25">
      <c r="A67" s="1"/>
      <c r="B67" s="16" t="s">
        <v>22</v>
      </c>
      <c r="C67" s="17"/>
      <c r="D67" s="18">
        <f>MAX(MIN(-((E14*3-D59)*1.3*0.9),0),-E48)</f>
        <v>0</v>
      </c>
      <c r="E67" s="19" t="s">
        <v>21</v>
      </c>
      <c r="F67" s="15"/>
      <c r="G67" s="15"/>
      <c r="H67" s="1"/>
      <c r="I67" s="1"/>
      <c r="J67" s="1"/>
      <c r="K67" s="1"/>
      <c r="L67" s="1"/>
      <c r="M67" s="1"/>
      <c r="N67" s="1"/>
      <c r="O67" s="1"/>
      <c r="P67" s="1"/>
    </row>
    <row r="68" spans="1:16" hidden="1" x14ac:dyDescent="0.25">
      <c r="A68" s="1"/>
      <c r="B68" s="16" t="s">
        <v>23</v>
      </c>
      <c r="C68" s="17"/>
      <c r="D68" s="20"/>
      <c r="E68" s="21"/>
      <c r="F68" s="15"/>
      <c r="G68" s="15"/>
      <c r="H68" s="1"/>
      <c r="I68" s="1"/>
    </row>
    <row r="69" spans="1:16" ht="14.25" thickBot="1" x14ac:dyDescent="0.3">
      <c r="A69" s="1"/>
      <c r="B69" s="22" t="s">
        <v>24</v>
      </c>
      <c r="C69" s="16"/>
      <c r="D69" s="23"/>
      <c r="E69" s="32">
        <f>MAX(D65+D66+D67+D68,-E48)</f>
        <v>40268.380645161291</v>
      </c>
      <c r="F69" s="15"/>
      <c r="G69" s="15"/>
      <c r="H69" s="1"/>
      <c r="I69" s="1"/>
    </row>
    <row r="70" spans="1:16" x14ac:dyDescent="0.25">
      <c r="A70" s="1"/>
      <c r="B70" s="16"/>
      <c r="C70" s="16"/>
      <c r="D70" s="24"/>
      <c r="E70" s="25"/>
      <c r="F70" s="15"/>
      <c r="G70" s="15"/>
      <c r="H70" s="1"/>
      <c r="I70" s="1"/>
    </row>
    <row r="71" spans="1:16" x14ac:dyDescent="0.25">
      <c r="A71" s="1"/>
      <c r="B71" s="22" t="s">
        <v>86</v>
      </c>
      <c r="C71" s="16"/>
      <c r="D71" s="26"/>
      <c r="E71" s="27">
        <f>MAX(D65+D67+D68,0)</f>
        <v>201341.90322580645</v>
      </c>
      <c r="F71" s="15"/>
      <c r="G71" s="15"/>
      <c r="H71" s="1"/>
      <c r="I71" s="1"/>
    </row>
    <row r="72" spans="1:16" x14ac:dyDescent="0.25">
      <c r="A72" s="1"/>
      <c r="B72" s="15"/>
      <c r="C72" s="15"/>
      <c r="D72" s="15"/>
      <c r="E72" s="15"/>
      <c r="F72" s="15"/>
      <c r="G72" s="15"/>
      <c r="H72" s="1"/>
      <c r="I72" s="1"/>
    </row>
    <row r="73" spans="1:16" s="1" customFormat="1" x14ac:dyDescent="0.25">
      <c r="A73" s="4" t="s">
        <v>38</v>
      </c>
      <c r="B73" s="5" t="s">
        <v>66</v>
      </c>
      <c r="C73" s="5"/>
      <c r="D73" s="5"/>
      <c r="E73" s="5"/>
      <c r="F73" s="6"/>
    </row>
    <row r="74" spans="1:16" s="37" customFormat="1" ht="27" x14ac:dyDescent="0.25">
      <c r="A74" s="35"/>
      <c r="B74" s="36"/>
      <c r="C74" s="41" t="s">
        <v>92</v>
      </c>
      <c r="D74" s="41" t="s">
        <v>79</v>
      </c>
      <c r="E74" s="41" t="s">
        <v>72</v>
      </c>
      <c r="F74" s="60">
        <v>0.45</v>
      </c>
    </row>
    <row r="75" spans="1:16" s="1" customFormat="1" x14ac:dyDescent="0.25">
      <c r="B75" s="1" t="s">
        <v>5</v>
      </c>
      <c r="C75" s="95">
        <f>C23</f>
        <v>70000</v>
      </c>
      <c r="D75" s="77"/>
      <c r="E75" s="7"/>
    </row>
    <row r="76" spans="1:16" s="1" customFormat="1" x14ac:dyDescent="0.25">
      <c r="B76" s="1" t="s">
        <v>67</v>
      </c>
      <c r="C76" s="87">
        <f>'Rekentool CB+NOW'!C76</f>
        <v>167994</v>
      </c>
      <c r="D76" s="77"/>
      <c r="E76" s="7"/>
    </row>
    <row r="77" spans="1:16" s="1" customFormat="1" x14ac:dyDescent="0.25">
      <c r="B77" s="1" t="s">
        <v>68</v>
      </c>
      <c r="C77" s="87">
        <f>'Rekentool CB+NOW'!C77</f>
        <v>167994</v>
      </c>
      <c r="D77" s="77"/>
      <c r="E77" s="7"/>
    </row>
    <row r="78" spans="1:16" s="1" customFormat="1" x14ac:dyDescent="0.25">
      <c r="B78" s="1" t="s">
        <v>69</v>
      </c>
      <c r="C78" s="87">
        <f>'Rekentool CB+NOW'!C78</f>
        <v>167994</v>
      </c>
      <c r="D78" s="77"/>
      <c r="E78" s="7"/>
    </row>
    <row r="79" spans="1:16" s="1" customFormat="1" x14ac:dyDescent="0.25">
      <c r="B79" s="1" t="s">
        <v>70</v>
      </c>
      <c r="C79" s="87">
        <f>'Rekentool CB+NOW'!C79</f>
        <v>167994</v>
      </c>
      <c r="D79" s="77"/>
      <c r="E79" s="7"/>
    </row>
    <row r="80" spans="1:16" x14ac:dyDescent="0.25">
      <c r="A80" s="34"/>
      <c r="B80" s="15" t="s">
        <v>71</v>
      </c>
      <c r="C80" s="87">
        <f>'Rekentool CB+NOW'!C80</f>
        <v>167994</v>
      </c>
      <c r="D80" s="77"/>
      <c r="E80" s="75"/>
      <c r="F80" s="15"/>
      <c r="G80" s="15"/>
      <c r="H80" s="1"/>
      <c r="I80" s="1"/>
    </row>
    <row r="81" spans="1:9" x14ac:dyDescent="0.25">
      <c r="A81" s="34"/>
      <c r="B81" s="15" t="s">
        <v>87</v>
      </c>
      <c r="C81" s="45">
        <f>SUM(C75:C80)</f>
        <v>909970</v>
      </c>
      <c r="D81" s="45">
        <f>MAX((C81-(6*E13)),0)</f>
        <v>70000</v>
      </c>
      <c r="E81" s="7">
        <f>MAX(-D81*(100%-F74),-E33)</f>
        <v>0</v>
      </c>
      <c r="F81" s="15"/>
      <c r="G81" s="15"/>
      <c r="H81" s="1"/>
      <c r="I81" s="1"/>
    </row>
    <row r="82" spans="1:9" x14ac:dyDescent="0.25">
      <c r="A82" s="34"/>
      <c r="B82" s="15"/>
      <c r="C82" s="15"/>
      <c r="D82" s="15"/>
      <c r="E82" s="7"/>
      <c r="F82" s="15"/>
      <c r="G82" s="15"/>
      <c r="H82" s="1"/>
      <c r="I82" s="1"/>
    </row>
    <row r="83" spans="1:9" x14ac:dyDescent="0.25">
      <c r="A83" s="34"/>
      <c r="B83" s="15"/>
      <c r="C83" s="15"/>
      <c r="D83" s="15"/>
      <c r="E83" s="45"/>
      <c r="F83" s="15"/>
      <c r="G83" s="15"/>
      <c r="H83" s="1"/>
      <c r="I83" s="1"/>
    </row>
    <row r="84" spans="1:9" x14ac:dyDescent="0.25">
      <c r="A84" s="4" t="s">
        <v>65</v>
      </c>
      <c r="B84" s="43" t="s">
        <v>46</v>
      </c>
      <c r="C84" s="42"/>
      <c r="D84" s="42"/>
      <c r="E84" s="42"/>
      <c r="F84" s="42"/>
      <c r="G84" s="15"/>
      <c r="H84" s="1"/>
      <c r="I84" s="1"/>
    </row>
    <row r="85" spans="1:9" x14ac:dyDescent="0.25">
      <c r="A85" s="34"/>
      <c r="B85" s="44" t="s">
        <v>47</v>
      </c>
      <c r="C85" s="15"/>
      <c r="D85" s="15"/>
      <c r="E85" s="15"/>
      <c r="F85" s="15"/>
      <c r="G85" s="15"/>
      <c r="H85" s="1"/>
      <c r="I85" s="1"/>
    </row>
    <row r="86" spans="1:9" x14ac:dyDescent="0.25">
      <c r="A86" s="34"/>
      <c r="B86" s="15" t="s">
        <v>48</v>
      </c>
      <c r="C86" s="15"/>
      <c r="D86" s="45">
        <f>-D66</f>
        <v>161073.52258064516</v>
      </c>
      <c r="E86" s="15"/>
      <c r="F86" s="15"/>
      <c r="G86" s="15"/>
      <c r="H86" s="1"/>
      <c r="I86" s="1"/>
    </row>
    <row r="87" spans="1:9" x14ac:dyDescent="0.25">
      <c r="A87" s="34"/>
      <c r="B87" s="15" t="s">
        <v>49</v>
      </c>
      <c r="C87" s="15"/>
      <c r="D87" s="46">
        <f>E35</f>
        <v>0</v>
      </c>
      <c r="E87" s="15"/>
      <c r="F87" s="15"/>
      <c r="G87" s="15"/>
      <c r="H87" s="1"/>
      <c r="I87" s="1"/>
    </row>
    <row r="88" spans="1:9" x14ac:dyDescent="0.25">
      <c r="A88" s="34"/>
      <c r="B88" s="15" t="s">
        <v>39</v>
      </c>
      <c r="C88" s="15"/>
      <c r="D88" s="47"/>
      <c r="E88" s="45">
        <f>SUM(D86:D87)</f>
        <v>161073.52258064516</v>
      </c>
      <c r="F88" s="15"/>
      <c r="G88" s="15"/>
      <c r="H88" s="1"/>
      <c r="I88" s="1"/>
    </row>
    <row r="89" spans="1:9" x14ac:dyDescent="0.25">
      <c r="A89" s="34"/>
      <c r="B89" s="15"/>
      <c r="C89" s="15"/>
      <c r="D89" s="15"/>
      <c r="E89" s="15"/>
      <c r="F89" s="15"/>
      <c r="G89" s="15"/>
      <c r="H89" s="1"/>
      <c r="I89" s="1"/>
    </row>
    <row r="90" spans="1:9" x14ac:dyDescent="0.25">
      <c r="A90" s="34"/>
      <c r="B90" s="15" t="s">
        <v>50</v>
      </c>
      <c r="C90" s="15"/>
      <c r="D90" s="45">
        <f>E69</f>
        <v>40268.380645161291</v>
      </c>
      <c r="E90" s="15"/>
      <c r="F90" s="15"/>
      <c r="G90" s="15"/>
      <c r="H90" s="1"/>
      <c r="I90" s="1"/>
    </row>
    <row r="91" spans="1:9" x14ac:dyDescent="0.25">
      <c r="A91" s="34"/>
      <c r="B91" s="15" t="s">
        <v>88</v>
      </c>
      <c r="C91" s="15"/>
      <c r="D91" s="48">
        <f>MAX(E81,-E33)</f>
        <v>0</v>
      </c>
      <c r="E91" s="15"/>
      <c r="F91" s="15"/>
      <c r="G91" s="15"/>
      <c r="H91" s="1"/>
      <c r="I91" s="1"/>
    </row>
    <row r="92" spans="1:9" x14ac:dyDescent="0.25">
      <c r="A92" s="34"/>
      <c r="B92" s="15"/>
      <c r="C92" s="15"/>
      <c r="D92" s="49"/>
      <c r="E92" s="45">
        <f>SUM(D90:D91)</f>
        <v>40268.380645161291</v>
      </c>
      <c r="F92" s="15"/>
      <c r="G92" s="15"/>
      <c r="H92" s="1"/>
      <c r="I92" s="1"/>
    </row>
    <row r="93" spans="1:9" x14ac:dyDescent="0.25">
      <c r="A93" s="34"/>
      <c r="B93" s="15"/>
      <c r="C93" s="15"/>
      <c r="D93" s="15"/>
      <c r="E93" s="76"/>
      <c r="F93" s="15"/>
      <c r="G93" s="15"/>
      <c r="H93" s="1"/>
      <c r="I93" s="1"/>
    </row>
    <row r="94" spans="1:9" x14ac:dyDescent="0.25">
      <c r="A94" s="34"/>
      <c r="B94" s="44" t="s">
        <v>25</v>
      </c>
      <c r="C94" s="15"/>
      <c r="D94" s="15"/>
      <c r="E94" s="50">
        <f>MAX(SUM(E88:E93),0)</f>
        <v>201341.90322580645</v>
      </c>
      <c r="F94" s="15"/>
      <c r="G94" s="15"/>
      <c r="H94" s="1"/>
      <c r="I94" s="1"/>
    </row>
    <row r="95" spans="1:9" x14ac:dyDescent="0.25">
      <c r="A95" s="34"/>
      <c r="B95" s="15"/>
      <c r="C95" s="15"/>
      <c r="D95" s="15"/>
      <c r="E95" s="45"/>
      <c r="F95" s="15"/>
      <c r="G95" s="15"/>
      <c r="H95" s="1"/>
      <c r="I95" s="1"/>
    </row>
    <row r="96" spans="1:9" ht="14.25" thickBot="1" x14ac:dyDescent="0.3">
      <c r="A96" s="34"/>
      <c r="B96" s="66"/>
      <c r="C96" s="66"/>
      <c r="D96" s="66"/>
      <c r="E96" s="67"/>
      <c r="F96" s="66"/>
      <c r="G96" s="15"/>
      <c r="H96" s="1"/>
      <c r="I96" s="1"/>
    </row>
    <row r="97" spans="1:9" x14ac:dyDescent="0.25">
      <c r="A97" s="34"/>
      <c r="B97" s="15"/>
      <c r="C97" s="15"/>
      <c r="D97" s="15"/>
      <c r="E97" s="45"/>
      <c r="F97" s="15"/>
      <c r="G97" s="15"/>
      <c r="H97" s="1"/>
      <c r="I97" s="1"/>
    </row>
    <row r="98" spans="1:9" ht="27.75" customHeight="1" x14ac:dyDescent="0.25">
      <c r="A98" s="1"/>
      <c r="B98" s="121" t="s">
        <v>56</v>
      </c>
      <c r="C98" s="121"/>
      <c r="D98" s="121"/>
      <c r="E98" s="121"/>
      <c r="F98" s="40"/>
      <c r="G98" s="15"/>
      <c r="H98" s="1"/>
      <c r="I98" s="1"/>
    </row>
    <row r="99" spans="1:9" x14ac:dyDescent="0.25">
      <c r="A99" s="1"/>
      <c r="B99" s="121" t="s">
        <v>89</v>
      </c>
      <c r="C99" s="121"/>
      <c r="D99" s="121"/>
      <c r="E99" s="121"/>
      <c r="F99" s="14"/>
      <c r="G99" s="15"/>
      <c r="H99" s="1"/>
      <c r="I99" s="1"/>
    </row>
    <row r="100" spans="1:9" x14ac:dyDescent="0.25">
      <c r="A100" s="1"/>
      <c r="B100" s="69" t="s">
        <v>110</v>
      </c>
      <c r="C100" s="69"/>
      <c r="D100" s="69"/>
      <c r="E100" s="69"/>
      <c r="F100" s="68"/>
      <c r="G100" s="15"/>
      <c r="H100" s="1"/>
      <c r="I100" s="1"/>
    </row>
    <row r="101" spans="1:9" x14ac:dyDescent="0.25">
      <c r="A101" s="1"/>
      <c r="B101" s="121" t="s">
        <v>90</v>
      </c>
      <c r="C101" s="121"/>
      <c r="D101" s="121"/>
      <c r="E101" s="121"/>
      <c r="F101" s="121"/>
      <c r="G101" s="15"/>
      <c r="H101" s="1"/>
      <c r="I101" s="1"/>
    </row>
    <row r="102" spans="1:9" x14ac:dyDescent="0.25">
      <c r="A102" s="1"/>
      <c r="B102" s="69" t="s">
        <v>91</v>
      </c>
      <c r="C102" s="69"/>
      <c r="D102" s="69"/>
      <c r="E102" s="69"/>
      <c r="F102" s="69"/>
      <c r="G102" s="15"/>
      <c r="H102" s="1"/>
      <c r="I102" s="1"/>
    </row>
    <row r="103" spans="1:9" s="31" customFormat="1" ht="57" customHeight="1" x14ac:dyDescent="0.25">
      <c r="A103" s="30"/>
      <c r="B103" s="121" t="s">
        <v>109</v>
      </c>
      <c r="C103" s="121"/>
      <c r="D103" s="121"/>
      <c r="E103" s="121"/>
      <c r="F103" s="30"/>
      <c r="G103" s="30"/>
      <c r="H103" s="30"/>
      <c r="I103" s="30"/>
    </row>
    <row r="104" spans="1:9" s="1" customFormat="1" x14ac:dyDescent="0.25">
      <c r="B104" s="1" t="s">
        <v>108</v>
      </c>
      <c r="G104" s="15"/>
    </row>
    <row r="105" spans="1:9" s="1" customFormat="1" x14ac:dyDescent="0.25"/>
    <row r="106" spans="1:9" s="1" customFormat="1" x14ac:dyDescent="0.25"/>
    <row r="107" spans="1:9" s="1" customFormat="1" ht="15" x14ac:dyDescent="0.25">
      <c r="B107" s="56" t="s">
        <v>118</v>
      </c>
    </row>
    <row r="108" spans="1:9" s="1" customFormat="1" x14ac:dyDescent="0.25"/>
    <row r="109" spans="1:9" s="1" customFormat="1" ht="15" x14ac:dyDescent="0.25">
      <c r="B109" s="88" t="s">
        <v>93</v>
      </c>
    </row>
    <row r="110" spans="1:9" s="1" customFormat="1" hidden="1" x14ac:dyDescent="0.25"/>
    <row r="111" spans="1:9" s="1" customFormat="1" hidden="1" x14ac:dyDescent="0.25"/>
    <row r="112" spans="1:9" s="1" customFormat="1" hidden="1" x14ac:dyDescent="0.25"/>
    <row r="113" s="1" customFormat="1" hidden="1" x14ac:dyDescent="0.25"/>
    <row r="114" s="1" customFormat="1" hidden="1" x14ac:dyDescent="0.25"/>
    <row r="115" s="1" customFormat="1" hidden="1" x14ac:dyDescent="0.25"/>
    <row r="116" s="1" customFormat="1" hidden="1" x14ac:dyDescent="0.25"/>
    <row r="117" s="1" customFormat="1" hidden="1" x14ac:dyDescent="0.25"/>
    <row r="118" s="1" customFormat="1" hidden="1" x14ac:dyDescent="0.25"/>
    <row r="119" s="1" customFormat="1" hidden="1" x14ac:dyDescent="0.25"/>
    <row r="120" s="1" customFormat="1" hidden="1" x14ac:dyDescent="0.25"/>
    <row r="121" s="1" customFormat="1" hidden="1" x14ac:dyDescent="0.25"/>
    <row r="122" s="1" customFormat="1" hidden="1" x14ac:dyDescent="0.25"/>
    <row r="123" s="1" customFormat="1" hidden="1" x14ac:dyDescent="0.25"/>
    <row r="124" s="1" customFormat="1" hidden="1" x14ac:dyDescent="0.25"/>
    <row r="125" s="1" customFormat="1" hidden="1" x14ac:dyDescent="0.25"/>
    <row r="126" s="1" customFormat="1" hidden="1" x14ac:dyDescent="0.25"/>
    <row r="127" s="1" customFormat="1" hidden="1" x14ac:dyDescent="0.25"/>
    <row r="128" s="1" customFormat="1" hidden="1" x14ac:dyDescent="0.25"/>
    <row r="129" s="1" customFormat="1" hidden="1" x14ac:dyDescent="0.25"/>
    <row r="130" s="1" customFormat="1" hidden="1" x14ac:dyDescent="0.25"/>
    <row r="131" s="1" customFormat="1" hidden="1" x14ac:dyDescent="0.25"/>
    <row r="132" s="1" customFormat="1" hidden="1" x14ac:dyDescent="0.25"/>
    <row r="133" s="1" customFormat="1" hidden="1" x14ac:dyDescent="0.25"/>
    <row r="134" s="1" customFormat="1" hidden="1" x14ac:dyDescent="0.25"/>
    <row r="135" s="1" customFormat="1" hidden="1" x14ac:dyDescent="0.25"/>
    <row r="136" s="1" customFormat="1" hidden="1" x14ac:dyDescent="0.25"/>
    <row r="137" s="1" customFormat="1" hidden="1" x14ac:dyDescent="0.25"/>
    <row r="138" s="1" customFormat="1" hidden="1" x14ac:dyDescent="0.25"/>
    <row r="139" s="1" customFormat="1" hidden="1" x14ac:dyDescent="0.25"/>
    <row r="140" s="1" customFormat="1" hidden="1" x14ac:dyDescent="0.25"/>
    <row r="141" s="1" customFormat="1" hidden="1" x14ac:dyDescent="0.25"/>
    <row r="142" s="1" customFormat="1" hidden="1" x14ac:dyDescent="0.25"/>
    <row r="143" s="1" customFormat="1" hidden="1" x14ac:dyDescent="0.25"/>
    <row r="144" s="1" customFormat="1" hidden="1" x14ac:dyDescent="0.25"/>
    <row r="145" s="1" customFormat="1" hidden="1" x14ac:dyDescent="0.25"/>
    <row r="146" s="1" customFormat="1" hidden="1" x14ac:dyDescent="0.25"/>
    <row r="147" s="1" customFormat="1" hidden="1" x14ac:dyDescent="0.25"/>
    <row r="148" s="1" customFormat="1" hidden="1" x14ac:dyDescent="0.25"/>
    <row r="149" s="1" customFormat="1" hidden="1" x14ac:dyDescent="0.25"/>
    <row r="150" s="1" customFormat="1" hidden="1" x14ac:dyDescent="0.25"/>
    <row r="151" s="1" customFormat="1" hidden="1" x14ac:dyDescent="0.25"/>
    <row r="152" s="1" customFormat="1" hidden="1" x14ac:dyDescent="0.25"/>
    <row r="153" s="1" customFormat="1" hidden="1" x14ac:dyDescent="0.25"/>
    <row r="154" s="1" customFormat="1" hidden="1" x14ac:dyDescent="0.25"/>
    <row r="155" s="1" customFormat="1" hidden="1" x14ac:dyDescent="0.25"/>
    <row r="156" s="1" customFormat="1" hidden="1" x14ac:dyDescent="0.25"/>
    <row r="157" s="1" customFormat="1" hidden="1" x14ac:dyDescent="0.25"/>
    <row r="158" s="1" customFormat="1" hidden="1" x14ac:dyDescent="0.25"/>
    <row r="159" s="1" customFormat="1" hidden="1" x14ac:dyDescent="0.25"/>
    <row r="160" s="1" customFormat="1" hidden="1" x14ac:dyDescent="0.25"/>
    <row r="161" s="1" customFormat="1" hidden="1" x14ac:dyDescent="0.25"/>
    <row r="162" s="1" customFormat="1" hidden="1" x14ac:dyDescent="0.25"/>
    <row r="163" s="1" customFormat="1" hidden="1" x14ac:dyDescent="0.25"/>
    <row r="164" s="1" customFormat="1" hidden="1" x14ac:dyDescent="0.25"/>
    <row r="165" s="1" customFormat="1" hidden="1" x14ac:dyDescent="0.25"/>
    <row r="166" s="1" customFormat="1" hidden="1" x14ac:dyDescent="0.25"/>
    <row r="167" s="1" customFormat="1" hidden="1" x14ac:dyDescent="0.25"/>
    <row r="168" s="1" customFormat="1" hidden="1" x14ac:dyDescent="0.25"/>
    <row r="169" s="1" customFormat="1" hidden="1" x14ac:dyDescent="0.25"/>
    <row r="170" s="1" customFormat="1" hidden="1" x14ac:dyDescent="0.25"/>
    <row r="171" s="1" customFormat="1" hidden="1" x14ac:dyDescent="0.25"/>
    <row r="172" s="1" customFormat="1" hidden="1" x14ac:dyDescent="0.25"/>
    <row r="173" s="1" customFormat="1" hidden="1" x14ac:dyDescent="0.25"/>
    <row r="174" s="1" customFormat="1" hidden="1" x14ac:dyDescent="0.25"/>
    <row r="175" s="1" customFormat="1" hidden="1" x14ac:dyDescent="0.25"/>
    <row r="176" s="1" customFormat="1" hidden="1" x14ac:dyDescent="0.25"/>
    <row r="177" s="1" customFormat="1" hidden="1" x14ac:dyDescent="0.25"/>
    <row r="178" s="1" customFormat="1" hidden="1" x14ac:dyDescent="0.25"/>
    <row r="179" s="1" customFormat="1" hidden="1" x14ac:dyDescent="0.25"/>
    <row r="180" s="1" customFormat="1" hidden="1" x14ac:dyDescent="0.25"/>
    <row r="181" s="1" customFormat="1" hidden="1" x14ac:dyDescent="0.25"/>
    <row r="182" s="1" customFormat="1" hidden="1" x14ac:dyDescent="0.25"/>
    <row r="183" s="1" customFormat="1" hidden="1" x14ac:dyDescent="0.25"/>
    <row r="184" s="1" customFormat="1" hidden="1" x14ac:dyDescent="0.25"/>
    <row r="185" s="1" customFormat="1" hidden="1" x14ac:dyDescent="0.25"/>
    <row r="186" s="1" customFormat="1" hidden="1" x14ac:dyDescent="0.25"/>
    <row r="187" s="1" customFormat="1" hidden="1" x14ac:dyDescent="0.25"/>
    <row r="188" s="1" customFormat="1" hidden="1" x14ac:dyDescent="0.25"/>
    <row r="189" s="1" customFormat="1" hidden="1" x14ac:dyDescent="0.25"/>
    <row r="190" s="1" customFormat="1" hidden="1" x14ac:dyDescent="0.25"/>
    <row r="191" s="1" customFormat="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x14ac:dyDescent="0.25"/>
  </sheetData>
  <sheetProtection selectLockedCells="1"/>
  <mergeCells count="5">
    <mergeCell ref="B99:E99"/>
    <mergeCell ref="B7:D7"/>
    <mergeCell ref="B98:E98"/>
    <mergeCell ref="B101:F101"/>
    <mergeCell ref="B103:E103"/>
  </mergeCells>
  <phoneticPr fontId="6" type="noConversion"/>
  <conditionalFormatting sqref="D41:D43">
    <cfRule type="colorScale" priority="2">
      <colorScale>
        <cfvo type="min"/>
        <cfvo type="percentile" val="50"/>
        <cfvo type="max"/>
        <color rgb="FF63BE7B"/>
        <color rgb="FFFFEB84"/>
        <color rgb="FFF8696B"/>
      </colorScale>
    </cfRule>
  </conditionalFormatting>
  <conditionalFormatting sqref="E69">
    <cfRule type="cellIs" dxfId="0" priority="1" operator="lessThan">
      <formula>0</formula>
    </cfRule>
  </conditionalFormatting>
  <dataValidations count="1">
    <dataValidation type="list" allowBlank="1" showInputMessage="1" showErrorMessage="1" sqref="D15" xr:uid="{CD99873D-230D-4B98-BDA0-A88B2BE57E82}">
      <formula1>$G$3:$G$4</formula1>
    </dataValidation>
  </dataValidations>
  <hyperlinks>
    <hyperlink ref="B5" r:id="rId1" xr:uid="{16E6430C-1783-4247-9A07-8C6001D42976}"/>
    <hyperlink ref="B109" r:id="rId2" location="blogs" xr:uid="{1CF9A440-6F6C-48AE-92D6-F5B7FD079294}"/>
  </hyperlinks>
  <pageMargins left="0.31496062992125984" right="0.24" top="0.74803149606299213" bottom="0.74803149606299213" header="0.31496062992125984" footer="0.31496062992125984"/>
  <pageSetup paperSize="9" scale="50" orientation="portrait" r:id="rId3"/>
  <ignoredErrors>
    <ignoredError sqref="E14 E9:E10" unlockedFormula="1"/>
  </ignoredErrors>
  <drawing r:id="rId4"/>
  <legacy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6A55B-5100-4D79-8B24-3418BE1A00C2}">
  <sheetPr>
    <tabColor rgb="FF897865"/>
  </sheetPr>
  <dimension ref="A1:E12"/>
  <sheetViews>
    <sheetView workbookViewId="0">
      <selection activeCell="A13" sqref="A13"/>
    </sheetView>
  </sheetViews>
  <sheetFormatPr defaultColWidth="9.140625" defaultRowHeight="13.5" x14ac:dyDescent="0.25"/>
  <cols>
    <col min="1" max="1" width="28" style="1" bestFit="1" customWidth="1"/>
    <col min="2" max="4" width="21.7109375" style="1" customWidth="1"/>
    <col min="5" max="16384" width="9.140625" style="1"/>
  </cols>
  <sheetData>
    <row r="1" spans="1:5" ht="12.75" customHeight="1" x14ac:dyDescent="0.25">
      <c r="A1" s="122" t="s">
        <v>125</v>
      </c>
      <c r="B1" s="123"/>
      <c r="C1" s="123"/>
      <c r="D1" s="124"/>
    </row>
    <row r="2" spans="1:5" x14ac:dyDescent="0.25">
      <c r="A2" s="100"/>
      <c r="B2" s="90"/>
      <c r="C2" s="90" t="s">
        <v>126</v>
      </c>
      <c r="D2" s="91" t="s">
        <v>127</v>
      </c>
    </row>
    <row r="3" spans="1:5" x14ac:dyDescent="0.25">
      <c r="A3" s="101" t="s">
        <v>128</v>
      </c>
      <c r="B3" s="78"/>
      <c r="C3" s="11">
        <f>'Rekentool CB+NOW'!E35</f>
        <v>305483.18</v>
      </c>
      <c r="D3" s="108">
        <f>'Rekentool NOW'!E35</f>
        <v>0</v>
      </c>
    </row>
    <row r="4" spans="1:5" x14ac:dyDescent="0.25">
      <c r="A4" s="101" t="s">
        <v>127</v>
      </c>
      <c r="B4" s="78"/>
      <c r="C4" s="11">
        <f>'Rekentool CB+NOW'!E71</f>
        <v>99648.801870967727</v>
      </c>
      <c r="D4" s="108">
        <f>'Rekentool NOW'!E71</f>
        <v>201341.90322580645</v>
      </c>
    </row>
    <row r="5" spans="1:5" x14ac:dyDescent="0.25">
      <c r="A5" s="101" t="s">
        <v>129</v>
      </c>
      <c r="B5" s="114">
        <f>'Rekentool CB+NOW'!A76</f>
        <v>0.2</v>
      </c>
      <c r="C5" s="11">
        <f>'Rekentool CB+NOW'!E81</f>
        <v>-38500</v>
      </c>
      <c r="D5" s="108">
        <f>'Rekentool NOW'!E81</f>
        <v>0</v>
      </c>
    </row>
    <row r="6" spans="1:5" x14ac:dyDescent="0.25">
      <c r="A6" s="101"/>
      <c r="B6" s="78"/>
      <c r="C6" s="11"/>
      <c r="D6" s="108"/>
    </row>
    <row r="7" spans="1:5" x14ac:dyDescent="0.25">
      <c r="A7" s="113"/>
      <c r="B7" s="78"/>
      <c r="C7" s="11"/>
      <c r="D7" s="108"/>
      <c r="E7" s="71"/>
    </row>
    <row r="8" spans="1:5" x14ac:dyDescent="0.25">
      <c r="A8" s="113"/>
      <c r="B8" s="78"/>
      <c r="C8" s="11"/>
      <c r="D8" s="108"/>
      <c r="E8" s="71"/>
    </row>
    <row r="9" spans="1:5" x14ac:dyDescent="0.25">
      <c r="A9" s="103"/>
      <c r="B9" s="79"/>
      <c r="C9" s="79">
        <f>SUM(C3:C8)</f>
        <v>366631.98187096772</v>
      </c>
      <c r="D9" s="80">
        <f>SUM(D3:D8)</f>
        <v>201341.90322580645</v>
      </c>
    </row>
    <row r="10" spans="1:5" ht="14.25" thickBot="1" x14ac:dyDescent="0.3">
      <c r="A10" s="104"/>
      <c r="B10" s="81"/>
      <c r="C10" s="81"/>
      <c r="D10" s="82"/>
    </row>
    <row r="11" spans="1:5" ht="14.25" thickTop="1" x14ac:dyDescent="0.25"/>
    <row r="12" spans="1:5" x14ac:dyDescent="0.25">
      <c r="A12" s="1" t="s">
        <v>130</v>
      </c>
      <c r="C12" s="9">
        <f>C9-D9</f>
        <v>165290.07864516127</v>
      </c>
    </row>
  </sheetData>
  <sheetProtection selectLockedCells="1"/>
  <mergeCells count="1">
    <mergeCell ref="A1:D1"/>
  </mergeCells>
  <pageMargins left="0.31496062992125984" right="0.31496062992125984" top="0.74803149606299213" bottom="0.74803149606299213" header="0.31496062992125984" footer="0.31496062992125984"/>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BB672-6926-4BF3-939E-1DDB8F84E3B1}">
  <sheetPr>
    <tabColor rgb="FF897865"/>
  </sheetPr>
  <dimension ref="A1:E21"/>
  <sheetViews>
    <sheetView workbookViewId="0">
      <selection activeCell="C3" sqref="C3"/>
    </sheetView>
  </sheetViews>
  <sheetFormatPr defaultColWidth="9.140625" defaultRowHeight="13.5" x14ac:dyDescent="0.25"/>
  <cols>
    <col min="1" max="1" width="28" style="1" bestFit="1" customWidth="1"/>
    <col min="2" max="4" width="21.7109375" style="1" customWidth="1"/>
    <col min="5" max="16384" width="9.140625" style="1"/>
  </cols>
  <sheetData>
    <row r="1" spans="1:5" ht="12.75" customHeight="1" x14ac:dyDescent="0.25">
      <c r="A1" s="122" t="s">
        <v>75</v>
      </c>
      <c r="B1" s="123"/>
      <c r="C1" s="123"/>
      <c r="D1" s="124"/>
    </row>
    <row r="2" spans="1:5" x14ac:dyDescent="0.25">
      <c r="A2" s="100" t="s">
        <v>95</v>
      </c>
      <c r="B2" s="90" t="s">
        <v>39</v>
      </c>
      <c r="C2" s="90" t="s">
        <v>78</v>
      </c>
      <c r="D2" s="91" t="s">
        <v>57</v>
      </c>
    </row>
    <row r="3" spans="1:5" x14ac:dyDescent="0.25">
      <c r="A3" s="101" t="s">
        <v>63</v>
      </c>
      <c r="B3" s="78">
        <f>SUM(C3:D3)</f>
        <v>1200000</v>
      </c>
      <c r="C3" s="85">
        <v>1200000</v>
      </c>
      <c r="D3" s="97"/>
    </row>
    <row r="4" spans="1:5" x14ac:dyDescent="0.25">
      <c r="A4" s="101" t="s">
        <v>58</v>
      </c>
      <c r="B4" s="78">
        <f t="shared" ref="B4:B18" si="0">SUM(C4:D4)</f>
        <v>0</v>
      </c>
      <c r="C4" s="85"/>
      <c r="D4" s="97"/>
    </row>
    <row r="5" spans="1:5" x14ac:dyDescent="0.25">
      <c r="A5" s="101" t="s">
        <v>64</v>
      </c>
      <c r="B5" s="78">
        <f t="shared" si="0"/>
        <v>0</v>
      </c>
      <c r="C5" s="85"/>
      <c r="D5" s="97"/>
    </row>
    <row r="6" spans="1:5" x14ac:dyDescent="0.25">
      <c r="A6" s="101" t="s">
        <v>59</v>
      </c>
      <c r="B6" s="78">
        <f t="shared" si="0"/>
        <v>0</v>
      </c>
      <c r="C6" s="85"/>
      <c r="D6" s="97"/>
    </row>
    <row r="7" spans="1:5" x14ac:dyDescent="0.25">
      <c r="A7" s="101" t="s">
        <v>60</v>
      </c>
      <c r="B7" s="78">
        <f t="shared" si="0"/>
        <v>0</v>
      </c>
      <c r="C7" s="85"/>
      <c r="D7" s="97"/>
    </row>
    <row r="8" spans="1:5" x14ac:dyDescent="0.25">
      <c r="A8" s="101" t="s">
        <v>61</v>
      </c>
      <c r="B8" s="78">
        <f t="shared" si="0"/>
        <v>0</v>
      </c>
      <c r="C8" s="85"/>
      <c r="D8" s="97"/>
    </row>
    <row r="9" spans="1:5" x14ac:dyDescent="0.25">
      <c r="A9" s="101" t="s">
        <v>57</v>
      </c>
      <c r="B9" s="78">
        <f t="shared" si="0"/>
        <v>240000</v>
      </c>
      <c r="C9" s="85"/>
      <c r="D9" s="97">
        <v>240000</v>
      </c>
      <c r="E9" s="111" t="s">
        <v>122</v>
      </c>
    </row>
    <row r="10" spans="1:5" x14ac:dyDescent="0.25">
      <c r="A10" s="102" t="s">
        <v>123</v>
      </c>
      <c r="B10" s="78">
        <f t="shared" si="0"/>
        <v>420000</v>
      </c>
      <c r="C10" s="85">
        <v>420000</v>
      </c>
      <c r="D10" s="97"/>
      <c r="E10" s="71" t="s">
        <v>80</v>
      </c>
    </row>
    <row r="11" spans="1:5" x14ac:dyDescent="0.25">
      <c r="A11" s="102" t="s">
        <v>120</v>
      </c>
      <c r="B11" s="78">
        <f>SUM(C11:D11)</f>
        <v>0</v>
      </c>
      <c r="C11" s="85"/>
      <c r="D11" s="97"/>
      <c r="E11" s="71" t="s">
        <v>80</v>
      </c>
    </row>
    <row r="12" spans="1:5" x14ac:dyDescent="0.25">
      <c r="A12" s="102"/>
      <c r="B12" s="78">
        <f t="shared" si="0"/>
        <v>0</v>
      </c>
      <c r="C12" s="85"/>
      <c r="D12" s="97"/>
      <c r="E12" s="71" t="s">
        <v>80</v>
      </c>
    </row>
    <row r="13" spans="1:5" x14ac:dyDescent="0.25">
      <c r="A13" s="102"/>
      <c r="B13" s="78"/>
      <c r="C13" s="85"/>
      <c r="D13" s="97"/>
      <c r="E13" s="71"/>
    </row>
    <row r="14" spans="1:5" x14ac:dyDescent="0.25">
      <c r="A14" s="102"/>
      <c r="B14" s="78"/>
      <c r="C14" s="85"/>
      <c r="D14" s="97"/>
      <c r="E14" s="71"/>
    </row>
    <row r="15" spans="1:5" x14ac:dyDescent="0.25">
      <c r="A15" s="102"/>
      <c r="B15" s="78"/>
      <c r="C15" s="85"/>
      <c r="D15" s="97"/>
      <c r="E15" s="71"/>
    </row>
    <row r="16" spans="1:5" x14ac:dyDescent="0.25">
      <c r="A16" s="102"/>
      <c r="B16" s="78"/>
      <c r="C16" s="85"/>
      <c r="D16" s="97"/>
      <c r="E16" s="71"/>
    </row>
    <row r="17" spans="1:5" x14ac:dyDescent="0.25">
      <c r="A17" s="102"/>
      <c r="B17" s="78"/>
      <c r="C17" s="85"/>
      <c r="D17" s="97"/>
      <c r="E17" s="71"/>
    </row>
    <row r="18" spans="1:5" x14ac:dyDescent="0.25">
      <c r="A18" s="102"/>
      <c r="B18" s="78">
        <f t="shared" si="0"/>
        <v>0</v>
      </c>
      <c r="C18" s="85"/>
      <c r="D18" s="97"/>
      <c r="E18" s="71" t="s">
        <v>80</v>
      </c>
    </row>
    <row r="19" spans="1:5" x14ac:dyDescent="0.25">
      <c r="A19" s="103" t="s">
        <v>76</v>
      </c>
      <c r="B19" s="79">
        <f>SUM(B3:B18)</f>
        <v>1860000</v>
      </c>
      <c r="C19" s="79">
        <f>SUM(C3:C18)</f>
        <v>1620000</v>
      </c>
      <c r="D19" s="80">
        <f>SUM(D3:D18)</f>
        <v>240000</v>
      </c>
    </row>
    <row r="20" spans="1:5" ht="14.25" thickBot="1" x14ac:dyDescent="0.3">
      <c r="A20" s="104" t="s">
        <v>77</v>
      </c>
      <c r="B20" s="81">
        <f>B19/12</f>
        <v>155000</v>
      </c>
      <c r="C20" s="81">
        <f>C19/12</f>
        <v>135000</v>
      </c>
      <c r="D20" s="82">
        <f>D19/12</f>
        <v>20000</v>
      </c>
    </row>
    <row r="21" spans="1:5" ht="14.25" thickTop="1" x14ac:dyDescent="0.25"/>
  </sheetData>
  <sheetProtection selectLockedCells="1"/>
  <mergeCells count="1">
    <mergeCell ref="A1:D1"/>
  </mergeCells>
  <phoneticPr fontId="6" type="noConversion"/>
  <pageMargins left="0.31496062992125984" right="0.31496062992125984" top="0.74803149606299213" bottom="0.74803149606299213" header="0.31496062992125984" footer="0.31496062992125984"/>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325BA-AE4E-42BD-8297-B09FDB1E1EC2}">
  <sheetPr>
    <tabColor rgb="FF897865"/>
  </sheetPr>
  <dimension ref="A1:E89"/>
  <sheetViews>
    <sheetView topLeftCell="A34" workbookViewId="0">
      <selection activeCell="C76" sqref="C76"/>
    </sheetView>
  </sheetViews>
  <sheetFormatPr defaultColWidth="9.140625" defaultRowHeight="13.5" x14ac:dyDescent="0.25"/>
  <cols>
    <col min="1" max="1" width="28" style="1" bestFit="1" customWidth="1"/>
    <col min="2" max="4" width="21.7109375" style="1" customWidth="1"/>
    <col min="5" max="16384" width="9.140625" style="1"/>
  </cols>
  <sheetData>
    <row r="1" spans="1:5" ht="12.75" customHeight="1" x14ac:dyDescent="0.25">
      <c r="A1" s="122" t="s">
        <v>102</v>
      </c>
      <c r="B1" s="123"/>
      <c r="C1" s="123"/>
      <c r="D1" s="124"/>
    </row>
    <row r="2" spans="1:5" x14ac:dyDescent="0.25">
      <c r="A2" s="100" t="s">
        <v>96</v>
      </c>
      <c r="B2" s="90" t="s">
        <v>39</v>
      </c>
      <c r="C2" s="90" t="s">
        <v>78</v>
      </c>
      <c r="D2" s="91" t="s">
        <v>57</v>
      </c>
    </row>
    <row r="3" spans="1:5" x14ac:dyDescent="0.25">
      <c r="A3" s="101" t="s">
        <v>63</v>
      </c>
      <c r="B3" s="78">
        <f>SUM(C3:D3)</f>
        <v>62155</v>
      </c>
      <c r="C3" s="85">
        <v>62155</v>
      </c>
      <c r="D3" s="108"/>
    </row>
    <row r="4" spans="1:5" x14ac:dyDescent="0.25">
      <c r="A4" s="101" t="s">
        <v>58</v>
      </c>
      <c r="B4" s="78">
        <f t="shared" ref="B4:B15" si="0">SUM(C4:D4)</f>
        <v>0</v>
      </c>
      <c r="C4" s="85"/>
      <c r="D4" s="108"/>
    </row>
    <row r="5" spans="1:5" x14ac:dyDescent="0.25">
      <c r="A5" s="101" t="s">
        <v>64</v>
      </c>
      <c r="B5" s="78">
        <f t="shared" si="0"/>
        <v>8234</v>
      </c>
      <c r="C5" s="11"/>
      <c r="D5" s="97">
        <v>8234</v>
      </c>
    </row>
    <row r="6" spans="1:5" x14ac:dyDescent="0.25">
      <c r="A6" s="101" t="s">
        <v>59</v>
      </c>
      <c r="B6" s="78">
        <f t="shared" si="0"/>
        <v>0</v>
      </c>
      <c r="C6" s="11"/>
      <c r="D6" s="97"/>
    </row>
    <row r="7" spans="1:5" x14ac:dyDescent="0.25">
      <c r="A7" s="101" t="s">
        <v>60</v>
      </c>
      <c r="B7" s="78">
        <f t="shared" si="0"/>
        <v>0</v>
      </c>
      <c r="C7" s="11"/>
      <c r="D7" s="97"/>
    </row>
    <row r="8" spans="1:5" x14ac:dyDescent="0.25">
      <c r="A8" s="101" t="s">
        <v>61</v>
      </c>
      <c r="B8" s="78">
        <f t="shared" si="0"/>
        <v>0</v>
      </c>
      <c r="C8" s="11"/>
      <c r="D8" s="97"/>
    </row>
    <row r="9" spans="1:5" x14ac:dyDescent="0.25">
      <c r="A9" s="101" t="s">
        <v>99</v>
      </c>
      <c r="B9" s="78">
        <f t="shared" si="0"/>
        <v>0</v>
      </c>
      <c r="C9" s="11"/>
      <c r="D9" s="97"/>
      <c r="E9" s="71" t="s">
        <v>111</v>
      </c>
    </row>
    <row r="10" spans="1:5" x14ac:dyDescent="0.25">
      <c r="A10" s="101" t="s">
        <v>100</v>
      </c>
      <c r="B10" s="78">
        <f t="shared" si="0"/>
        <v>0</v>
      </c>
      <c r="C10" s="11"/>
      <c r="D10" s="97"/>
      <c r="E10" s="71" t="s">
        <v>101</v>
      </c>
    </row>
    <row r="11" spans="1:5" x14ac:dyDescent="0.25">
      <c r="A11" s="101" t="s">
        <v>57</v>
      </c>
      <c r="B11" s="78">
        <f t="shared" si="0"/>
        <v>7304.75</v>
      </c>
      <c r="C11" s="11"/>
      <c r="D11" s="97">
        <f>C3*0.25-D5</f>
        <v>7304.75</v>
      </c>
      <c r="E11" s="1" t="s">
        <v>124</v>
      </c>
    </row>
    <row r="12" spans="1:5" x14ac:dyDescent="0.25">
      <c r="A12" s="102"/>
      <c r="B12" s="78">
        <f t="shared" si="0"/>
        <v>0</v>
      </c>
      <c r="C12" s="85"/>
      <c r="D12" s="97"/>
      <c r="E12" s="71" t="s">
        <v>80</v>
      </c>
    </row>
    <row r="13" spans="1:5" x14ac:dyDescent="0.25">
      <c r="A13" s="102"/>
      <c r="B13" s="78">
        <f>SUM(C13:D13)</f>
        <v>0</v>
      </c>
      <c r="C13" s="85"/>
      <c r="D13" s="97"/>
      <c r="E13" s="71" t="s">
        <v>80</v>
      </c>
    </row>
    <row r="14" spans="1:5" x14ac:dyDescent="0.25">
      <c r="A14" s="102"/>
      <c r="B14" s="78">
        <f t="shared" si="0"/>
        <v>0</v>
      </c>
      <c r="C14" s="85"/>
      <c r="D14" s="97"/>
      <c r="E14" s="71" t="s">
        <v>80</v>
      </c>
    </row>
    <row r="15" spans="1:5" x14ac:dyDescent="0.25">
      <c r="A15" s="102" t="s">
        <v>121</v>
      </c>
      <c r="B15" s="78">
        <f t="shared" si="0"/>
        <v>0</v>
      </c>
      <c r="C15" s="85"/>
      <c r="D15" s="97"/>
      <c r="E15" s="71" t="s">
        <v>80</v>
      </c>
    </row>
    <row r="16" spans="1:5" ht="14.25" thickBot="1" x14ac:dyDescent="0.3">
      <c r="A16" s="92" t="s">
        <v>98</v>
      </c>
      <c r="B16" s="93">
        <f>SUM(B3:B14)</f>
        <v>77693.75</v>
      </c>
      <c r="C16" s="93">
        <f>SUM(C3:C15)</f>
        <v>62155</v>
      </c>
      <c r="D16" s="93">
        <f>SUM(D3:D15)</f>
        <v>15538.75</v>
      </c>
    </row>
    <row r="17" spans="1:5" ht="14.25" thickTop="1" x14ac:dyDescent="0.25">
      <c r="A17" s="101"/>
      <c r="B17" s="63"/>
      <c r="C17" s="63"/>
      <c r="D17" s="63"/>
    </row>
    <row r="18" spans="1:5" x14ac:dyDescent="0.25">
      <c r="A18" s="101"/>
      <c r="B18" s="63"/>
      <c r="C18" s="63"/>
      <c r="D18" s="63"/>
    </row>
    <row r="19" spans="1:5" x14ac:dyDescent="0.25">
      <c r="A19" s="122" t="s">
        <v>103</v>
      </c>
      <c r="B19" s="123"/>
      <c r="C19" s="123"/>
      <c r="D19" s="124"/>
    </row>
    <row r="20" spans="1:5" x14ac:dyDescent="0.25">
      <c r="A20" s="100" t="s">
        <v>97</v>
      </c>
      <c r="B20" s="90" t="s">
        <v>39</v>
      </c>
      <c r="C20" s="90" t="s">
        <v>78</v>
      </c>
      <c r="D20" s="91" t="s">
        <v>57</v>
      </c>
    </row>
    <row r="21" spans="1:5" x14ac:dyDescent="0.25">
      <c r="A21" s="101" t="s">
        <v>63</v>
      </c>
      <c r="B21" s="78">
        <f>SUM(C21:D21)</f>
        <v>31855</v>
      </c>
      <c r="C21" s="85">
        <v>31855</v>
      </c>
      <c r="D21" s="108"/>
    </row>
    <row r="22" spans="1:5" x14ac:dyDescent="0.25">
      <c r="A22" s="101" t="s">
        <v>58</v>
      </c>
      <c r="B22" s="78">
        <f t="shared" ref="B22:B30" si="1">SUM(C22:D22)</f>
        <v>0</v>
      </c>
      <c r="C22" s="85"/>
      <c r="D22" s="108"/>
    </row>
    <row r="23" spans="1:5" x14ac:dyDescent="0.25">
      <c r="A23" s="101" t="s">
        <v>64</v>
      </c>
      <c r="B23" s="78">
        <f t="shared" si="1"/>
        <v>10164</v>
      </c>
      <c r="C23" s="11"/>
      <c r="D23" s="97">
        <v>10164</v>
      </c>
    </row>
    <row r="24" spans="1:5" x14ac:dyDescent="0.25">
      <c r="A24" s="101" t="s">
        <v>59</v>
      </c>
      <c r="B24" s="78">
        <f t="shared" si="1"/>
        <v>0</v>
      </c>
      <c r="C24" s="11"/>
      <c r="D24" s="97"/>
    </row>
    <row r="25" spans="1:5" x14ac:dyDescent="0.25">
      <c r="A25" s="101" t="s">
        <v>60</v>
      </c>
      <c r="B25" s="78">
        <f t="shared" si="1"/>
        <v>0</v>
      </c>
      <c r="C25" s="11"/>
      <c r="D25" s="97"/>
    </row>
    <row r="26" spans="1:5" x14ac:dyDescent="0.25">
      <c r="A26" s="101" t="s">
        <v>61</v>
      </c>
      <c r="B26" s="78">
        <f t="shared" si="1"/>
        <v>0</v>
      </c>
      <c r="C26" s="11"/>
      <c r="D26" s="97"/>
    </row>
    <row r="27" spans="1:5" x14ac:dyDescent="0.25">
      <c r="A27" s="101" t="s">
        <v>99</v>
      </c>
      <c r="B27" s="78">
        <f t="shared" si="1"/>
        <v>20000</v>
      </c>
      <c r="C27" s="11"/>
      <c r="D27" s="97">
        <f>5*4000</f>
        <v>20000</v>
      </c>
      <c r="E27" s="71" t="s">
        <v>111</v>
      </c>
    </row>
    <row r="28" spans="1:5" x14ac:dyDescent="0.25">
      <c r="A28" s="101" t="s">
        <v>100</v>
      </c>
      <c r="B28" s="78">
        <f t="shared" si="1"/>
        <v>0</v>
      </c>
      <c r="C28" s="11"/>
      <c r="D28" s="97"/>
      <c r="E28" s="71" t="s">
        <v>101</v>
      </c>
    </row>
    <row r="29" spans="1:5" x14ac:dyDescent="0.25">
      <c r="A29" s="101" t="s">
        <v>57</v>
      </c>
      <c r="B29" s="78">
        <f t="shared" si="1"/>
        <v>-2200.25</v>
      </c>
      <c r="C29" s="11"/>
      <c r="D29" s="97">
        <f>C21*0.25-D23</f>
        <v>-2200.25</v>
      </c>
      <c r="E29" s="1" t="s">
        <v>124</v>
      </c>
    </row>
    <row r="30" spans="1:5" x14ac:dyDescent="0.25">
      <c r="A30" s="102"/>
      <c r="B30" s="78">
        <f t="shared" si="1"/>
        <v>0</v>
      </c>
      <c r="C30" s="85"/>
      <c r="D30" s="97"/>
      <c r="E30" s="71" t="s">
        <v>80</v>
      </c>
    </row>
    <row r="31" spans="1:5" x14ac:dyDescent="0.25">
      <c r="A31" s="102"/>
      <c r="B31" s="78">
        <f>SUM(C31:D31)</f>
        <v>0</v>
      </c>
      <c r="C31" s="85"/>
      <c r="D31" s="97"/>
      <c r="E31" s="71" t="s">
        <v>80</v>
      </c>
    </row>
    <row r="32" spans="1:5" x14ac:dyDescent="0.25">
      <c r="A32" s="102"/>
      <c r="B32" s="78">
        <f t="shared" ref="B32:B33" si="2">SUM(C32:D32)</f>
        <v>0</v>
      </c>
      <c r="C32" s="85"/>
      <c r="D32" s="97"/>
      <c r="E32" s="71" t="s">
        <v>80</v>
      </c>
    </row>
    <row r="33" spans="1:5" x14ac:dyDescent="0.25">
      <c r="A33" s="102"/>
      <c r="B33" s="78">
        <f t="shared" si="2"/>
        <v>0</v>
      </c>
      <c r="C33" s="85"/>
      <c r="D33" s="97"/>
      <c r="E33" s="71" t="s">
        <v>80</v>
      </c>
    </row>
    <row r="34" spans="1:5" ht="14.25" thickBot="1" x14ac:dyDescent="0.3">
      <c r="A34" s="92" t="s">
        <v>39</v>
      </c>
      <c r="B34" s="93">
        <f>SUM(B21:B33)</f>
        <v>59818.75</v>
      </c>
      <c r="C34" s="93">
        <f>SUM(C21:C33)</f>
        <v>31855</v>
      </c>
      <c r="D34" s="94">
        <f>SUM(D21:D33)</f>
        <v>27963.75</v>
      </c>
    </row>
    <row r="35" spans="1:5" ht="14.25" thickTop="1" x14ac:dyDescent="0.25"/>
    <row r="37" spans="1:5" x14ac:dyDescent="0.25">
      <c r="A37" s="122" t="s">
        <v>112</v>
      </c>
      <c r="B37" s="123"/>
      <c r="C37" s="123"/>
      <c r="D37" s="124"/>
    </row>
    <row r="38" spans="1:5" x14ac:dyDescent="0.25">
      <c r="A38" s="100" t="s">
        <v>113</v>
      </c>
      <c r="B38" s="90" t="s">
        <v>39</v>
      </c>
      <c r="C38" s="90" t="s">
        <v>78</v>
      </c>
      <c r="D38" s="91" t="s">
        <v>57</v>
      </c>
    </row>
    <row r="39" spans="1:5" x14ac:dyDescent="0.25">
      <c r="A39" s="101" t="s">
        <v>63</v>
      </c>
      <c r="B39" s="78">
        <f>SUM(C39:D39)</f>
        <v>60757</v>
      </c>
      <c r="C39" s="85">
        <v>60757</v>
      </c>
      <c r="D39" s="108"/>
    </row>
    <row r="40" spans="1:5" x14ac:dyDescent="0.25">
      <c r="A40" s="101" t="s">
        <v>58</v>
      </c>
      <c r="B40" s="78">
        <f t="shared" ref="B40:B48" si="3">SUM(C40:D40)</f>
        <v>0</v>
      </c>
      <c r="C40" s="85"/>
      <c r="D40" s="108"/>
    </row>
    <row r="41" spans="1:5" x14ac:dyDescent="0.25">
      <c r="A41" s="101" t="s">
        <v>64</v>
      </c>
      <c r="B41" s="78">
        <f t="shared" si="3"/>
        <v>10024</v>
      </c>
      <c r="C41" s="11"/>
      <c r="D41" s="97">
        <v>10024</v>
      </c>
    </row>
    <row r="42" spans="1:5" x14ac:dyDescent="0.25">
      <c r="A42" s="101" t="s">
        <v>59</v>
      </c>
      <c r="B42" s="78">
        <f t="shared" si="3"/>
        <v>0</v>
      </c>
      <c r="C42" s="11"/>
      <c r="D42" s="97"/>
    </row>
    <row r="43" spans="1:5" x14ac:dyDescent="0.25">
      <c r="A43" s="101" t="s">
        <v>60</v>
      </c>
      <c r="B43" s="78">
        <f t="shared" si="3"/>
        <v>0</v>
      </c>
      <c r="C43" s="11"/>
      <c r="D43" s="97"/>
    </row>
    <row r="44" spans="1:5" x14ac:dyDescent="0.25">
      <c r="A44" s="101" t="s">
        <v>61</v>
      </c>
      <c r="B44" s="78">
        <f t="shared" si="3"/>
        <v>0</v>
      </c>
      <c r="C44" s="11"/>
      <c r="D44" s="97"/>
    </row>
    <row r="45" spans="1:5" x14ac:dyDescent="0.25">
      <c r="A45" s="101" t="s">
        <v>99</v>
      </c>
      <c r="B45" s="78">
        <f t="shared" si="3"/>
        <v>0</v>
      </c>
      <c r="C45" s="11"/>
      <c r="D45" s="97"/>
    </row>
    <row r="46" spans="1:5" x14ac:dyDescent="0.25">
      <c r="A46" s="101" t="s">
        <v>100</v>
      </c>
      <c r="B46" s="78">
        <f t="shared" si="3"/>
        <v>0</v>
      </c>
      <c r="C46" s="11"/>
      <c r="D46" s="97"/>
    </row>
    <row r="47" spans="1:5" x14ac:dyDescent="0.25">
      <c r="A47" s="101" t="s">
        <v>57</v>
      </c>
      <c r="B47" s="78">
        <f t="shared" si="3"/>
        <v>5165.25</v>
      </c>
      <c r="C47" s="11"/>
      <c r="D47" s="97">
        <f>C39*0.25-D41</f>
        <v>5165.25</v>
      </c>
      <c r="E47" s="1" t="s">
        <v>124</v>
      </c>
    </row>
    <row r="48" spans="1:5" x14ac:dyDescent="0.25">
      <c r="A48" s="102"/>
      <c r="B48" s="78">
        <f t="shared" si="3"/>
        <v>0</v>
      </c>
      <c r="C48" s="85"/>
      <c r="D48" s="97"/>
    </row>
    <row r="49" spans="1:4" x14ac:dyDescent="0.25">
      <c r="A49" s="102"/>
      <c r="B49" s="78">
        <f>SUM(C49:D49)</f>
        <v>0</v>
      </c>
      <c r="C49" s="85"/>
      <c r="D49" s="97"/>
    </row>
    <row r="50" spans="1:4" x14ac:dyDescent="0.25">
      <c r="A50" s="102"/>
      <c r="B50" s="78">
        <f t="shared" ref="B50:B51" si="4">SUM(C50:D50)</f>
        <v>0</v>
      </c>
      <c r="C50" s="85"/>
      <c r="D50" s="97"/>
    </row>
    <row r="51" spans="1:4" x14ac:dyDescent="0.25">
      <c r="A51" s="102"/>
      <c r="B51" s="78">
        <f t="shared" si="4"/>
        <v>0</v>
      </c>
      <c r="C51" s="85"/>
      <c r="D51" s="97"/>
    </row>
    <row r="52" spans="1:4" ht="14.25" thickBot="1" x14ac:dyDescent="0.3">
      <c r="A52" s="92" t="s">
        <v>39</v>
      </c>
      <c r="B52" s="93">
        <f>SUM(B39:B51)</f>
        <v>75946.25</v>
      </c>
      <c r="C52" s="93">
        <f>SUM(C39:C51)</f>
        <v>60757</v>
      </c>
      <c r="D52" s="94">
        <f>SUM(D39:D51)</f>
        <v>15189.25</v>
      </c>
    </row>
    <row r="53" spans="1:4" ht="14.25" thickTop="1" x14ac:dyDescent="0.25"/>
    <row r="55" spans="1:4" x14ac:dyDescent="0.25">
      <c r="A55" s="122" t="s">
        <v>114</v>
      </c>
      <c r="B55" s="123"/>
      <c r="C55" s="123"/>
      <c r="D55" s="124"/>
    </row>
    <row r="56" spans="1:4" x14ac:dyDescent="0.25">
      <c r="A56" s="100" t="s">
        <v>115</v>
      </c>
      <c r="B56" s="90" t="s">
        <v>39</v>
      </c>
      <c r="C56" s="90" t="s">
        <v>78</v>
      </c>
      <c r="D56" s="91" t="s">
        <v>57</v>
      </c>
    </row>
    <row r="57" spans="1:4" x14ac:dyDescent="0.25">
      <c r="A57" s="101" t="s">
        <v>63</v>
      </c>
      <c r="B57" s="78">
        <f>SUM(C57:D57)</f>
        <v>50000</v>
      </c>
      <c r="C57" s="85">
        <v>50000</v>
      </c>
      <c r="D57" s="108"/>
    </row>
    <row r="58" spans="1:4" x14ac:dyDescent="0.25">
      <c r="A58" s="101" t="s">
        <v>58</v>
      </c>
      <c r="B58" s="78">
        <f t="shared" ref="B58:B66" si="5">SUM(C58:D58)</f>
        <v>0</v>
      </c>
      <c r="C58" s="85"/>
      <c r="D58" s="108"/>
    </row>
    <row r="59" spans="1:4" x14ac:dyDescent="0.25">
      <c r="A59" s="101" t="s">
        <v>64</v>
      </c>
      <c r="B59" s="78">
        <f t="shared" si="5"/>
        <v>16860</v>
      </c>
      <c r="C59" s="11"/>
      <c r="D59" s="97">
        <v>16860</v>
      </c>
    </row>
    <row r="60" spans="1:4" x14ac:dyDescent="0.25">
      <c r="A60" s="101" t="s">
        <v>59</v>
      </c>
      <c r="B60" s="78">
        <f t="shared" si="5"/>
        <v>0</v>
      </c>
      <c r="C60" s="11"/>
      <c r="D60" s="97"/>
    </row>
    <row r="61" spans="1:4" x14ac:dyDescent="0.25">
      <c r="A61" s="101" t="s">
        <v>60</v>
      </c>
      <c r="B61" s="78">
        <f t="shared" si="5"/>
        <v>0</v>
      </c>
      <c r="C61" s="11"/>
      <c r="D61" s="97"/>
    </row>
    <row r="62" spans="1:4" x14ac:dyDescent="0.25">
      <c r="A62" s="101" t="s">
        <v>61</v>
      </c>
      <c r="B62" s="78">
        <f t="shared" si="5"/>
        <v>0</v>
      </c>
      <c r="C62" s="11"/>
      <c r="D62" s="97"/>
    </row>
    <row r="63" spans="1:4" x14ac:dyDescent="0.25">
      <c r="A63" s="101" t="s">
        <v>99</v>
      </c>
      <c r="B63" s="78">
        <f t="shared" si="5"/>
        <v>0</v>
      </c>
      <c r="C63" s="11"/>
      <c r="D63" s="97"/>
    </row>
    <row r="64" spans="1:4" x14ac:dyDescent="0.25">
      <c r="A64" s="101" t="s">
        <v>100</v>
      </c>
      <c r="B64" s="78">
        <f t="shared" si="5"/>
        <v>0</v>
      </c>
      <c r="C64" s="11"/>
      <c r="D64" s="97"/>
    </row>
    <row r="65" spans="1:5" x14ac:dyDescent="0.25">
      <c r="A65" s="101" t="s">
        <v>57</v>
      </c>
      <c r="B65" s="78">
        <f t="shared" si="5"/>
        <v>-4360</v>
      </c>
      <c r="C65" s="11"/>
      <c r="D65" s="97">
        <f>C57*0.25-D59</f>
        <v>-4360</v>
      </c>
      <c r="E65" s="1" t="s">
        <v>124</v>
      </c>
    </row>
    <row r="66" spans="1:5" x14ac:dyDescent="0.25">
      <c r="A66" s="102"/>
      <c r="B66" s="78">
        <f t="shared" si="5"/>
        <v>0</v>
      </c>
      <c r="C66" s="85"/>
      <c r="D66" s="97"/>
    </row>
    <row r="67" spans="1:5" x14ac:dyDescent="0.25">
      <c r="A67" s="102"/>
      <c r="B67" s="78">
        <f>SUM(C67:D67)</f>
        <v>0</v>
      </c>
      <c r="C67" s="85"/>
      <c r="D67" s="97"/>
    </row>
    <row r="68" spans="1:5" x14ac:dyDescent="0.25">
      <c r="A68" s="102"/>
      <c r="B68" s="78">
        <f t="shared" ref="B68:B69" si="6">SUM(C68:D68)</f>
        <v>0</v>
      </c>
      <c r="C68" s="85"/>
      <c r="D68" s="97"/>
    </row>
    <row r="69" spans="1:5" x14ac:dyDescent="0.25">
      <c r="A69" s="102"/>
      <c r="B69" s="78">
        <f t="shared" si="6"/>
        <v>0</v>
      </c>
      <c r="C69" s="85"/>
      <c r="D69" s="97"/>
    </row>
    <row r="70" spans="1:5" ht="14.25" thickBot="1" x14ac:dyDescent="0.3">
      <c r="A70" s="92" t="s">
        <v>39</v>
      </c>
      <c r="B70" s="93">
        <f>SUM(B57:B69)</f>
        <v>62500</v>
      </c>
      <c r="C70" s="93">
        <f>SUM(C57:C69)</f>
        <v>50000</v>
      </c>
      <c r="D70" s="94">
        <f>SUM(D57:D69)</f>
        <v>12500</v>
      </c>
    </row>
    <row r="71" spans="1:5" ht="14.25" thickTop="1" x14ac:dyDescent="0.25"/>
    <row r="73" spans="1:5" x14ac:dyDescent="0.25">
      <c r="A73" s="122" t="s">
        <v>116</v>
      </c>
      <c r="B73" s="123"/>
      <c r="C73" s="123"/>
      <c r="D73" s="124"/>
    </row>
    <row r="74" spans="1:5" x14ac:dyDescent="0.25">
      <c r="A74" s="100" t="s">
        <v>117</v>
      </c>
      <c r="B74" s="90" t="s">
        <v>39</v>
      </c>
      <c r="C74" s="90" t="s">
        <v>78</v>
      </c>
      <c r="D74" s="91" t="s">
        <v>57</v>
      </c>
    </row>
    <row r="75" spans="1:5" x14ac:dyDescent="0.25">
      <c r="A75" s="101" t="s">
        <v>63</v>
      </c>
      <c r="B75" s="78">
        <f>SUM(C75:D75)</f>
        <v>70000</v>
      </c>
      <c r="C75" s="85">
        <v>70000</v>
      </c>
      <c r="D75" s="108"/>
    </row>
    <row r="76" spans="1:5" x14ac:dyDescent="0.25">
      <c r="A76" s="101" t="s">
        <v>58</v>
      </c>
      <c r="B76" s="78">
        <f t="shared" ref="B76:B84" si="7">SUM(C76:D76)</f>
        <v>0</v>
      </c>
      <c r="C76" s="85"/>
      <c r="D76" s="108"/>
    </row>
    <row r="77" spans="1:5" x14ac:dyDescent="0.25">
      <c r="A77" s="101" t="s">
        <v>64</v>
      </c>
      <c r="B77" s="78">
        <f t="shared" si="7"/>
        <v>17000</v>
      </c>
      <c r="C77" s="11"/>
      <c r="D77" s="97">
        <v>17000</v>
      </c>
    </row>
    <row r="78" spans="1:5" x14ac:dyDescent="0.25">
      <c r="A78" s="101" t="s">
        <v>59</v>
      </c>
      <c r="B78" s="78">
        <f t="shared" si="7"/>
        <v>0</v>
      </c>
      <c r="C78" s="11"/>
      <c r="D78" s="97"/>
    </row>
    <row r="79" spans="1:5" x14ac:dyDescent="0.25">
      <c r="A79" s="101" t="s">
        <v>60</v>
      </c>
      <c r="B79" s="78">
        <f t="shared" si="7"/>
        <v>0</v>
      </c>
      <c r="C79" s="11"/>
      <c r="D79" s="97"/>
    </row>
    <row r="80" spans="1:5" x14ac:dyDescent="0.25">
      <c r="A80" s="101" t="s">
        <v>61</v>
      </c>
      <c r="B80" s="78">
        <f t="shared" si="7"/>
        <v>0</v>
      </c>
      <c r="C80" s="11"/>
      <c r="D80" s="97"/>
    </row>
    <row r="81" spans="1:5" x14ac:dyDescent="0.25">
      <c r="A81" s="101" t="s">
        <v>99</v>
      </c>
      <c r="B81" s="78">
        <f t="shared" si="7"/>
        <v>0</v>
      </c>
      <c r="C81" s="11"/>
      <c r="D81" s="97"/>
    </row>
    <row r="82" spans="1:5" x14ac:dyDescent="0.25">
      <c r="A82" s="101" t="s">
        <v>100</v>
      </c>
      <c r="B82" s="78">
        <f t="shared" si="7"/>
        <v>0</v>
      </c>
      <c r="C82" s="11"/>
      <c r="D82" s="97"/>
    </row>
    <row r="83" spans="1:5" x14ac:dyDescent="0.25">
      <c r="A83" s="101" t="s">
        <v>57</v>
      </c>
      <c r="B83" s="78">
        <f t="shared" si="7"/>
        <v>500</v>
      </c>
      <c r="C83" s="11"/>
      <c r="D83" s="97">
        <f>C75*0.25-D77</f>
        <v>500</v>
      </c>
      <c r="E83" s="1" t="s">
        <v>124</v>
      </c>
    </row>
    <row r="84" spans="1:5" x14ac:dyDescent="0.25">
      <c r="A84" s="102"/>
      <c r="B84" s="78">
        <f t="shared" si="7"/>
        <v>0</v>
      </c>
      <c r="C84" s="85"/>
      <c r="D84" s="97"/>
    </row>
    <row r="85" spans="1:5" x14ac:dyDescent="0.25">
      <c r="A85" s="102"/>
      <c r="B85" s="78">
        <f>SUM(C85:D85)</f>
        <v>0</v>
      </c>
      <c r="C85" s="85"/>
      <c r="D85" s="97"/>
    </row>
    <row r="86" spans="1:5" x14ac:dyDescent="0.25">
      <c r="A86" s="102"/>
      <c r="B86" s="78">
        <f t="shared" ref="B86:B87" si="8">SUM(C86:D86)</f>
        <v>0</v>
      </c>
      <c r="C86" s="85"/>
      <c r="D86" s="97"/>
    </row>
    <row r="87" spans="1:5" x14ac:dyDescent="0.25">
      <c r="A87" s="102"/>
      <c r="B87" s="78">
        <f t="shared" si="8"/>
        <v>0</v>
      </c>
      <c r="C87" s="85"/>
      <c r="D87" s="97"/>
    </row>
    <row r="88" spans="1:5" ht="14.25" thickBot="1" x14ac:dyDescent="0.3">
      <c r="A88" s="92" t="s">
        <v>39</v>
      </c>
      <c r="B88" s="93">
        <f>SUM(B75:B87)</f>
        <v>87500</v>
      </c>
      <c r="C88" s="93">
        <f>SUM(C75:C87)</f>
        <v>70000</v>
      </c>
      <c r="D88" s="94">
        <f>SUM(D75:D87)</f>
        <v>17500</v>
      </c>
    </row>
    <row r="89" spans="1:5" ht="14.25" thickTop="1" x14ac:dyDescent="0.25"/>
  </sheetData>
  <sheetProtection selectLockedCells="1"/>
  <mergeCells count="5">
    <mergeCell ref="A1:D1"/>
    <mergeCell ref="A19:D19"/>
    <mergeCell ref="A37:D37"/>
    <mergeCell ref="A55:D55"/>
    <mergeCell ref="A73:D73"/>
  </mergeCells>
  <pageMargins left="0.7" right="0.7" top="0.75" bottom="0.75" header="0.3" footer="0.3"/>
  <pageSetup paperSize="9"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CFF0BD453D3184698E830D391572923" ma:contentTypeVersion="11" ma:contentTypeDescription="Create a new document." ma:contentTypeScope="" ma:versionID="61bf5adb9aad96e88d64617ebfdeeeee">
  <xsd:schema xmlns:xsd="http://www.w3.org/2001/XMLSchema" xmlns:xs="http://www.w3.org/2001/XMLSchema" xmlns:p="http://schemas.microsoft.com/office/2006/metadata/properties" xmlns:ns3="59054a2d-a097-4bc6-9fce-2bd36f246d96" xmlns:ns4="f5ed4131-ed12-4823-b922-a493c767ef19" targetNamespace="http://schemas.microsoft.com/office/2006/metadata/properties" ma:root="true" ma:fieldsID="285c4441ca2bdaec2e4a4563c1f3edb5" ns3:_="" ns4:_="">
    <xsd:import namespace="59054a2d-a097-4bc6-9fce-2bd36f246d96"/>
    <xsd:import namespace="f5ed4131-ed12-4823-b922-a493c767ef1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4:SharedWithUsers" minOccurs="0"/>
                <xsd:element ref="ns4:SharedWithDetails" minOccurs="0"/>
                <xsd:element ref="ns4:SharingHintHash"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054a2d-a097-4bc6-9fce-2bd36f246d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ed4131-ed12-4823-b922-a493c767ef19"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CBC5CC-2CBB-4EAF-9167-680E89306EE3}">
  <ds:schemaRefs>
    <ds:schemaRef ds:uri="f5ed4131-ed12-4823-b922-a493c767ef19"/>
    <ds:schemaRef ds:uri="59054a2d-a097-4bc6-9fce-2bd36f246d96"/>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C9B6F8E0-9D81-40C3-9195-325A74BE78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054a2d-a097-4bc6-9fce-2bd36f246d96"/>
    <ds:schemaRef ds:uri="f5ed4131-ed12-4823-b922-a493c767e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0F821B-F802-45FC-8B0F-E73C9FE0028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5</vt:i4>
      </vt:variant>
    </vt:vector>
  </HeadingPairs>
  <TitlesOfParts>
    <vt:vector size="11" baseType="lpstr">
      <vt:lpstr>Rekentool CB+NOW</vt:lpstr>
      <vt:lpstr>Blad1</vt:lpstr>
      <vt:lpstr>Rekentool NOW</vt:lpstr>
      <vt:lpstr>CB+NOW vs NOW</vt:lpstr>
      <vt:lpstr>spec omzet 2019</vt:lpstr>
      <vt:lpstr>spec omzet 2020 mrt tm jul</vt:lpstr>
      <vt:lpstr>'CB+NOW vs NOW'!Afdrukbereik</vt:lpstr>
      <vt:lpstr>'Rekentool CB+NOW'!Afdrukbereik</vt:lpstr>
      <vt:lpstr>'Rekentool NOW'!Afdrukbereik</vt:lpstr>
      <vt:lpstr>'spec omzet 2019'!Afdrukbereik</vt:lpstr>
      <vt:lpstr>'spec omzet 2020 mrt tm jul'!Afdrukbereik</vt:lpstr>
    </vt:vector>
  </TitlesOfParts>
  <Company>ESJ Accounting Belastingen B.V.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Susanne Tiel</dc:creator>
  <cp:lastModifiedBy>Ralf van Roosmalen</cp:lastModifiedBy>
  <cp:lastPrinted>2020-05-14T14:57:26Z</cp:lastPrinted>
  <dcterms:created xsi:type="dcterms:W3CDTF">2020-04-01T11:13:44Z</dcterms:created>
  <dcterms:modified xsi:type="dcterms:W3CDTF">2020-10-07T07:50:10Z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0x010100FCFF0BD453D3184698E830D391572923</vt:lpwstr>
  </property>
</Properties>
</file>